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600" yWindow="1280" windowWidth="25600" windowHeight="14980" tabRatio="500" activeTab="6"/>
  </bookViews>
  <sheets>
    <sheet name="overview" sheetId="1" r:id="rId1"/>
    <sheet name="exp paras" sheetId="2" r:id="rId2"/>
    <sheet name="PTR-MS" sheetId="3" r:id="rId3"/>
    <sheet name="IRMS data" sheetId="4" r:id="rId4"/>
    <sheet name="peak area" sheetId="5" r:id="rId5"/>
    <sheet name="d13C" sheetId="6" r:id="rId6"/>
    <sheet name="re-eval d13C" sheetId="7" r:id="rId7"/>
  </sheet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" l="1"/>
  <c r="AH108" i="5"/>
  <c r="AI108" i="5"/>
  <c r="AJ108" i="5"/>
  <c r="E108" i="5"/>
  <c r="AM101" i="7"/>
  <c r="D108" i="5"/>
  <c r="AL101" i="7"/>
  <c r="G218" i="4"/>
  <c r="AJ101" i="7"/>
  <c r="G211" i="4"/>
  <c r="AI101" i="7"/>
  <c r="G204" i="4"/>
  <c r="AH101" i="7"/>
  <c r="E101" i="7"/>
  <c r="D101" i="7"/>
  <c r="AH107" i="5"/>
  <c r="AI107" i="5"/>
  <c r="AJ107" i="5"/>
  <c r="E107" i="5"/>
  <c r="AM100" i="7"/>
  <c r="D107" i="5"/>
  <c r="AL100" i="7"/>
  <c r="G217" i="4"/>
  <c r="AJ100" i="7"/>
  <c r="G210" i="4"/>
  <c r="AI100" i="7"/>
  <c r="G203" i="4"/>
  <c r="AH100" i="7"/>
  <c r="E100" i="7"/>
  <c r="D100" i="7"/>
  <c r="AH106" i="5"/>
  <c r="AI106" i="5"/>
  <c r="AJ106" i="5"/>
  <c r="E106" i="5"/>
  <c r="AM99" i="7"/>
  <c r="D106" i="5"/>
  <c r="AL99" i="7"/>
  <c r="G216" i="4"/>
  <c r="AJ99" i="7"/>
  <c r="G209" i="4"/>
  <c r="AI99" i="7"/>
  <c r="G202" i="4"/>
  <c r="AH99" i="7"/>
  <c r="E99" i="7"/>
  <c r="D99" i="7"/>
  <c r="C96" i="7"/>
  <c r="C97" i="7"/>
  <c r="C98" i="7"/>
  <c r="C99" i="7"/>
  <c r="AH105" i="5"/>
  <c r="AI105" i="5"/>
  <c r="AJ105" i="5"/>
  <c r="E105" i="5"/>
  <c r="AM98" i="7"/>
  <c r="D105" i="5"/>
  <c r="AL98" i="7"/>
  <c r="G215" i="4"/>
  <c r="AJ98" i="7"/>
  <c r="G208" i="4"/>
  <c r="AI98" i="7"/>
  <c r="G201" i="4"/>
  <c r="AH98" i="7"/>
  <c r="E98" i="7"/>
  <c r="D98" i="7"/>
  <c r="AH104" i="5"/>
  <c r="AI104" i="5"/>
  <c r="AJ104" i="5"/>
  <c r="E104" i="5"/>
  <c r="AM97" i="7"/>
  <c r="D104" i="5"/>
  <c r="AL97" i="7"/>
  <c r="G214" i="4"/>
  <c r="AJ97" i="7"/>
  <c r="G207" i="4"/>
  <c r="AI97" i="7"/>
  <c r="G200" i="4"/>
  <c r="AH97" i="7"/>
  <c r="E97" i="7"/>
  <c r="D97" i="7"/>
  <c r="AH103" i="5"/>
  <c r="AI103" i="5"/>
  <c r="AJ103" i="5"/>
  <c r="E103" i="5"/>
  <c r="AM96" i="7"/>
  <c r="D103" i="5"/>
  <c r="AL96" i="7"/>
  <c r="G213" i="4"/>
  <c r="AJ96" i="7"/>
  <c r="G206" i="4"/>
  <c r="AI96" i="7"/>
  <c r="G199" i="4"/>
  <c r="AH96" i="7"/>
  <c r="E96" i="7"/>
  <c r="D96" i="7"/>
  <c r="AH102" i="5"/>
  <c r="AI102" i="5"/>
  <c r="AJ102" i="5"/>
  <c r="E102" i="5"/>
  <c r="AM95" i="7"/>
  <c r="D102" i="5"/>
  <c r="AL95" i="7"/>
  <c r="G212" i="4"/>
  <c r="AJ95" i="7"/>
  <c r="G205" i="4"/>
  <c r="AI95" i="7"/>
  <c r="G198" i="4"/>
  <c r="AH95" i="7"/>
  <c r="E95" i="7"/>
  <c r="D95" i="7"/>
  <c r="A95" i="7"/>
  <c r="AE101" i="5"/>
  <c r="AF101" i="5"/>
  <c r="AG101" i="5"/>
  <c r="E101" i="5"/>
  <c r="AM94" i="7"/>
  <c r="D101" i="5"/>
  <c r="AL94" i="7"/>
  <c r="G197" i="4"/>
  <c r="AG94" i="7"/>
  <c r="G15" i="4"/>
  <c r="AF94" i="7"/>
  <c r="G8" i="4"/>
  <c r="AE94" i="7"/>
  <c r="E94" i="7"/>
  <c r="D94" i="7"/>
  <c r="AE100" i="5"/>
  <c r="AF100" i="5"/>
  <c r="AG100" i="5"/>
  <c r="E100" i="5"/>
  <c r="AM93" i="7"/>
  <c r="D100" i="5"/>
  <c r="AL93" i="7"/>
  <c r="G196" i="4"/>
  <c r="AG93" i="7"/>
  <c r="G14" i="4"/>
  <c r="AF93" i="7"/>
  <c r="G7" i="4"/>
  <c r="AE93" i="7"/>
  <c r="E93" i="7"/>
  <c r="D93" i="7"/>
  <c r="AE99" i="5"/>
  <c r="AF99" i="5"/>
  <c r="AG99" i="5"/>
  <c r="E99" i="5"/>
  <c r="AM92" i="7"/>
  <c r="D99" i="5"/>
  <c r="AL92" i="7"/>
  <c r="G195" i="4"/>
  <c r="AG92" i="7"/>
  <c r="G13" i="4"/>
  <c r="AF92" i="7"/>
  <c r="G6" i="4"/>
  <c r="AE92" i="7"/>
  <c r="E92" i="7"/>
  <c r="D92" i="7"/>
  <c r="C89" i="7"/>
  <c r="C90" i="7"/>
  <c r="C91" i="7"/>
  <c r="C92" i="7"/>
  <c r="AE98" i="5"/>
  <c r="AF98" i="5"/>
  <c r="AG98" i="5"/>
  <c r="E98" i="5"/>
  <c r="AM91" i="7"/>
  <c r="D98" i="5"/>
  <c r="AL91" i="7"/>
  <c r="G194" i="4"/>
  <c r="AG91" i="7"/>
  <c r="G12" i="4"/>
  <c r="AF91" i="7"/>
  <c r="G5" i="4"/>
  <c r="AE91" i="7"/>
  <c r="E91" i="7"/>
  <c r="D91" i="7"/>
  <c r="AE97" i="5"/>
  <c r="AF97" i="5"/>
  <c r="AG97" i="5"/>
  <c r="E97" i="5"/>
  <c r="AM90" i="7"/>
  <c r="D97" i="5"/>
  <c r="AL90" i="7"/>
  <c r="G193" i="4"/>
  <c r="AG90" i="7"/>
  <c r="G11" i="4"/>
  <c r="AF90" i="7"/>
  <c r="G4" i="4"/>
  <c r="AE90" i="7"/>
  <c r="E90" i="7"/>
  <c r="D90" i="7"/>
  <c r="AE96" i="5"/>
  <c r="AF96" i="5"/>
  <c r="AG96" i="5"/>
  <c r="E96" i="5"/>
  <c r="AM89" i="7"/>
  <c r="D96" i="5"/>
  <c r="AL89" i="7"/>
  <c r="G192" i="4"/>
  <c r="AG89" i="7"/>
  <c r="G10" i="4"/>
  <c r="AF89" i="7"/>
  <c r="G3" i="4"/>
  <c r="AE89" i="7"/>
  <c r="E89" i="7"/>
  <c r="D89" i="7"/>
  <c r="AE95" i="5"/>
  <c r="AF95" i="5"/>
  <c r="AG95" i="5"/>
  <c r="E95" i="5"/>
  <c r="AM88" i="7"/>
  <c r="D95" i="5"/>
  <c r="AL88" i="7"/>
  <c r="G191" i="4"/>
  <c r="AG88" i="7"/>
  <c r="G9" i="4"/>
  <c r="AF88" i="7"/>
  <c r="G2" i="4"/>
  <c r="AE88" i="7"/>
  <c r="E88" i="7"/>
  <c r="D88" i="7"/>
  <c r="A88" i="7"/>
  <c r="AD94" i="5"/>
  <c r="E94" i="5"/>
  <c r="AM87" i="7"/>
  <c r="D94" i="5"/>
  <c r="AL87" i="7"/>
  <c r="G176" i="4"/>
  <c r="AD87" i="7"/>
  <c r="E87" i="7"/>
  <c r="D87" i="7"/>
  <c r="AD93" i="5"/>
  <c r="E93" i="5"/>
  <c r="AM86" i="7"/>
  <c r="D93" i="5"/>
  <c r="AL86" i="7"/>
  <c r="G175" i="4"/>
  <c r="AD86" i="7"/>
  <c r="E86" i="7"/>
  <c r="D86" i="7"/>
  <c r="AD92" i="5"/>
  <c r="E92" i="5"/>
  <c r="AM85" i="7"/>
  <c r="D92" i="5"/>
  <c r="AL85" i="7"/>
  <c r="G174" i="4"/>
  <c r="AD85" i="7"/>
  <c r="E85" i="7"/>
  <c r="D85" i="7"/>
  <c r="C82" i="7"/>
  <c r="C83" i="7"/>
  <c r="C84" i="7"/>
  <c r="C85" i="7"/>
  <c r="AD91" i="5"/>
  <c r="E91" i="5"/>
  <c r="AM84" i="7"/>
  <c r="D91" i="5"/>
  <c r="AL84" i="7"/>
  <c r="G173" i="4"/>
  <c r="AD84" i="7"/>
  <c r="E84" i="7"/>
  <c r="D84" i="7"/>
  <c r="AD90" i="5"/>
  <c r="E90" i="5"/>
  <c r="AM83" i="7"/>
  <c r="D90" i="5"/>
  <c r="AL83" i="7"/>
  <c r="G172" i="4"/>
  <c r="AD83" i="7"/>
  <c r="E83" i="7"/>
  <c r="D83" i="7"/>
  <c r="AD89" i="5"/>
  <c r="E89" i="5"/>
  <c r="AM82" i="7"/>
  <c r="D89" i="5"/>
  <c r="AL82" i="7"/>
  <c r="G171" i="4"/>
  <c r="AD82" i="7"/>
  <c r="E82" i="7"/>
  <c r="D82" i="7"/>
  <c r="AD88" i="5"/>
  <c r="E88" i="5"/>
  <c r="AM81" i="7"/>
  <c r="D88" i="5"/>
  <c r="AL81" i="7"/>
  <c r="G170" i="4"/>
  <c r="AD81" i="7"/>
  <c r="E81" i="7"/>
  <c r="D81" i="7"/>
  <c r="A81" i="7"/>
  <c r="AA87" i="5"/>
  <c r="AB87" i="5"/>
  <c r="AC87" i="5"/>
  <c r="E87" i="5"/>
  <c r="AM80" i="7"/>
  <c r="D87" i="5"/>
  <c r="AL80" i="7"/>
  <c r="G169" i="4"/>
  <c r="AC80" i="7"/>
  <c r="G162" i="4"/>
  <c r="AB80" i="7"/>
  <c r="G155" i="4"/>
  <c r="AA80" i="7"/>
  <c r="E80" i="7"/>
  <c r="D80" i="7"/>
  <c r="AA86" i="5"/>
  <c r="AB86" i="5"/>
  <c r="AC86" i="5"/>
  <c r="E86" i="5"/>
  <c r="AM79" i="7"/>
  <c r="D86" i="5"/>
  <c r="AL79" i="7"/>
  <c r="G168" i="4"/>
  <c r="AC79" i="7"/>
  <c r="G161" i="4"/>
  <c r="AB79" i="7"/>
  <c r="G154" i="4"/>
  <c r="AA79" i="7"/>
  <c r="E79" i="7"/>
  <c r="D79" i="7"/>
  <c r="AA85" i="5"/>
  <c r="AB85" i="5"/>
  <c r="AC85" i="5"/>
  <c r="E85" i="5"/>
  <c r="AM78" i="7"/>
  <c r="D85" i="5"/>
  <c r="AL78" i="7"/>
  <c r="G167" i="4"/>
  <c r="AC78" i="7"/>
  <c r="G160" i="4"/>
  <c r="AB78" i="7"/>
  <c r="G153" i="4"/>
  <c r="AA78" i="7"/>
  <c r="E78" i="7"/>
  <c r="D78" i="7"/>
  <c r="C75" i="7"/>
  <c r="C76" i="7"/>
  <c r="C77" i="7"/>
  <c r="C78" i="7"/>
  <c r="AA84" i="5"/>
  <c r="AB84" i="5"/>
  <c r="AC84" i="5"/>
  <c r="E84" i="5"/>
  <c r="AM77" i="7"/>
  <c r="D84" i="5"/>
  <c r="AL77" i="7"/>
  <c r="G166" i="4"/>
  <c r="AC77" i="7"/>
  <c r="G159" i="4"/>
  <c r="AB77" i="7"/>
  <c r="G152" i="4"/>
  <c r="AA77" i="7"/>
  <c r="E77" i="7"/>
  <c r="D77" i="7"/>
  <c r="AA83" i="5"/>
  <c r="AB83" i="5"/>
  <c r="AC83" i="5"/>
  <c r="E83" i="5"/>
  <c r="AM76" i="7"/>
  <c r="D83" i="5"/>
  <c r="AL76" i="7"/>
  <c r="G165" i="4"/>
  <c r="AC76" i="7"/>
  <c r="G158" i="4"/>
  <c r="AB76" i="7"/>
  <c r="G151" i="4"/>
  <c r="AA76" i="7"/>
  <c r="E76" i="7"/>
  <c r="D76" i="7"/>
  <c r="AA82" i="5"/>
  <c r="AB82" i="5"/>
  <c r="AC82" i="5"/>
  <c r="E82" i="5"/>
  <c r="AM75" i="7"/>
  <c r="D82" i="5"/>
  <c r="AL75" i="7"/>
  <c r="G164" i="4"/>
  <c r="AC75" i="7"/>
  <c r="G157" i="4"/>
  <c r="AB75" i="7"/>
  <c r="G150" i="4"/>
  <c r="AA75" i="7"/>
  <c r="E75" i="7"/>
  <c r="D75" i="7"/>
  <c r="AA81" i="5"/>
  <c r="AB81" i="5"/>
  <c r="AC81" i="5"/>
  <c r="E81" i="5"/>
  <c r="AM74" i="7"/>
  <c r="D81" i="5"/>
  <c r="AL74" i="7"/>
  <c r="G163" i="4"/>
  <c r="AC74" i="7"/>
  <c r="G156" i="4"/>
  <c r="AB74" i="7"/>
  <c r="G149" i="4"/>
  <c r="AA74" i="7"/>
  <c r="E74" i="7"/>
  <c r="D74" i="7"/>
  <c r="AT73" i="7"/>
  <c r="Z80" i="5"/>
  <c r="E80" i="5"/>
  <c r="AM73" i="7"/>
  <c r="D80" i="5"/>
  <c r="AL73" i="7"/>
  <c r="G148" i="4"/>
  <c r="Z73" i="7"/>
  <c r="E73" i="7"/>
  <c r="D73" i="7"/>
  <c r="AT72" i="7"/>
  <c r="Z79" i="5"/>
  <c r="E79" i="5"/>
  <c r="AM72" i="7"/>
  <c r="D79" i="5"/>
  <c r="AL72" i="7"/>
  <c r="G147" i="4"/>
  <c r="Z72" i="7"/>
  <c r="E72" i="7"/>
  <c r="D72" i="7"/>
  <c r="AT71" i="7"/>
  <c r="Z78" i="5"/>
  <c r="E78" i="5"/>
  <c r="AM71" i="7"/>
  <c r="D78" i="5"/>
  <c r="AL71" i="7"/>
  <c r="G146" i="4"/>
  <c r="Z71" i="7"/>
  <c r="E71" i="7"/>
  <c r="D71" i="7"/>
  <c r="C68" i="7"/>
  <c r="C69" i="7"/>
  <c r="C70" i="7"/>
  <c r="C71" i="7"/>
  <c r="AT70" i="7"/>
  <c r="Z77" i="5"/>
  <c r="E77" i="5"/>
  <c r="AM70" i="7"/>
  <c r="D77" i="5"/>
  <c r="AL70" i="7"/>
  <c r="G145" i="4"/>
  <c r="Z70" i="7"/>
  <c r="E70" i="7"/>
  <c r="D70" i="7"/>
  <c r="AT69" i="7"/>
  <c r="Z76" i="5"/>
  <c r="E76" i="5"/>
  <c r="AM69" i="7"/>
  <c r="D76" i="5"/>
  <c r="AL69" i="7"/>
  <c r="G144" i="4"/>
  <c r="Z69" i="7"/>
  <c r="E69" i="7"/>
  <c r="D69" i="7"/>
  <c r="AT68" i="7"/>
  <c r="Z75" i="5"/>
  <c r="E75" i="5"/>
  <c r="AM68" i="7"/>
  <c r="D75" i="5"/>
  <c r="AL68" i="7"/>
  <c r="G143" i="4"/>
  <c r="Z68" i="7"/>
  <c r="E68" i="7"/>
  <c r="D68" i="7"/>
  <c r="AT67" i="7"/>
  <c r="Z74" i="5"/>
  <c r="E74" i="5"/>
  <c r="AM67" i="7"/>
  <c r="D74" i="5"/>
  <c r="AL67" i="7"/>
  <c r="G142" i="4"/>
  <c r="Z67" i="7"/>
  <c r="E67" i="7"/>
  <c r="D67" i="7"/>
  <c r="A67" i="7"/>
  <c r="X66" i="5"/>
  <c r="E66" i="5"/>
  <c r="AM66" i="7"/>
  <c r="D66" i="5"/>
  <c r="AL66" i="7"/>
  <c r="G183" i="4"/>
  <c r="Y66" i="7"/>
  <c r="G141" i="4"/>
  <c r="X66" i="7"/>
  <c r="E66" i="7"/>
  <c r="D66" i="7"/>
  <c r="X65" i="5"/>
  <c r="E65" i="5"/>
  <c r="AM65" i="7"/>
  <c r="D65" i="5"/>
  <c r="AL65" i="7"/>
  <c r="G182" i="4"/>
  <c r="Y65" i="7"/>
  <c r="G140" i="4"/>
  <c r="X65" i="7"/>
  <c r="E65" i="7"/>
  <c r="D65" i="7"/>
  <c r="X64" i="5"/>
  <c r="E64" i="5"/>
  <c r="AM64" i="7"/>
  <c r="D64" i="5"/>
  <c r="AL64" i="7"/>
  <c r="G181" i="4"/>
  <c r="Y64" i="7"/>
  <c r="G139" i="4"/>
  <c r="X64" i="7"/>
  <c r="E64" i="7"/>
  <c r="D64" i="7"/>
  <c r="C61" i="7"/>
  <c r="C62" i="7"/>
  <c r="C63" i="7"/>
  <c r="C64" i="7"/>
  <c r="X63" i="5"/>
  <c r="E63" i="5"/>
  <c r="AM63" i="7"/>
  <c r="D63" i="5"/>
  <c r="AL63" i="7"/>
  <c r="G180" i="4"/>
  <c r="Y63" i="7"/>
  <c r="G138" i="4"/>
  <c r="X63" i="7"/>
  <c r="E63" i="7"/>
  <c r="D63" i="7"/>
  <c r="X62" i="5"/>
  <c r="E62" i="5"/>
  <c r="AM62" i="7"/>
  <c r="D62" i="5"/>
  <c r="AL62" i="7"/>
  <c r="G179" i="4"/>
  <c r="Y62" i="7"/>
  <c r="G137" i="4"/>
  <c r="X62" i="7"/>
  <c r="E62" i="7"/>
  <c r="D62" i="7"/>
  <c r="X61" i="5"/>
  <c r="E61" i="5"/>
  <c r="AM61" i="7"/>
  <c r="D61" i="5"/>
  <c r="AL61" i="7"/>
  <c r="G178" i="4"/>
  <c r="Y61" i="7"/>
  <c r="G136" i="4"/>
  <c r="X61" i="7"/>
  <c r="E61" i="7"/>
  <c r="D61" i="7"/>
  <c r="X60" i="5"/>
  <c r="E60" i="5"/>
  <c r="AM60" i="7"/>
  <c r="D60" i="5"/>
  <c r="AL60" i="7"/>
  <c r="G177" i="4"/>
  <c r="Y60" i="7"/>
  <c r="G135" i="4"/>
  <c r="X60" i="7"/>
  <c r="E60" i="7"/>
  <c r="D60" i="7"/>
  <c r="A60" i="7"/>
  <c r="W59" i="5"/>
  <c r="E59" i="5"/>
  <c r="AM59" i="7"/>
  <c r="D59" i="5"/>
  <c r="AL59" i="7"/>
  <c r="G225" i="4"/>
  <c r="W59" i="7"/>
  <c r="E59" i="7"/>
  <c r="D59" i="7"/>
  <c r="W58" i="5"/>
  <c r="E58" i="5"/>
  <c r="AM58" i="7"/>
  <c r="D58" i="5"/>
  <c r="AL58" i="7"/>
  <c r="G224" i="4"/>
  <c r="W58" i="7"/>
  <c r="E58" i="7"/>
  <c r="D58" i="7"/>
  <c r="W57" i="5"/>
  <c r="E57" i="5"/>
  <c r="AM57" i="7"/>
  <c r="D57" i="5"/>
  <c r="AL57" i="7"/>
  <c r="G223" i="4"/>
  <c r="W57" i="7"/>
  <c r="E57" i="7"/>
  <c r="D57" i="7"/>
  <c r="C54" i="7"/>
  <c r="C55" i="7"/>
  <c r="C56" i="7"/>
  <c r="C57" i="7"/>
  <c r="W56" i="5"/>
  <c r="E56" i="5"/>
  <c r="AM56" i="7"/>
  <c r="D56" i="5"/>
  <c r="AL56" i="7"/>
  <c r="G222" i="4"/>
  <c r="W56" i="7"/>
  <c r="E56" i="7"/>
  <c r="D56" i="7"/>
  <c r="W55" i="5"/>
  <c r="E55" i="5"/>
  <c r="AM55" i="7"/>
  <c r="D55" i="5"/>
  <c r="AL55" i="7"/>
  <c r="G221" i="4"/>
  <c r="W55" i="7"/>
  <c r="E55" i="7"/>
  <c r="D55" i="7"/>
  <c r="W54" i="5"/>
  <c r="E54" i="5"/>
  <c r="AM54" i="7"/>
  <c r="D54" i="5"/>
  <c r="AL54" i="7"/>
  <c r="G220" i="4"/>
  <c r="W54" i="7"/>
  <c r="E54" i="7"/>
  <c r="D54" i="7"/>
  <c r="W53" i="5"/>
  <c r="E53" i="5"/>
  <c r="AM53" i="7"/>
  <c r="D53" i="5"/>
  <c r="AL53" i="7"/>
  <c r="G219" i="4"/>
  <c r="W53" i="7"/>
  <c r="E53" i="7"/>
  <c r="D53" i="7"/>
  <c r="A53" i="7"/>
  <c r="G134" i="4"/>
  <c r="V51" i="7"/>
  <c r="E51" i="7"/>
  <c r="AP51" i="7"/>
  <c r="AQ51" i="7"/>
  <c r="D51" i="7"/>
  <c r="AO51" i="7"/>
  <c r="V51" i="5"/>
  <c r="D51" i="5"/>
  <c r="AL51" i="7"/>
  <c r="AN51" i="7"/>
  <c r="E51" i="5"/>
  <c r="AM51" i="7"/>
  <c r="G133" i="4"/>
  <c r="V50" i="7"/>
  <c r="E50" i="7"/>
  <c r="AP50" i="7"/>
  <c r="AQ50" i="7"/>
  <c r="D50" i="7"/>
  <c r="AO50" i="7"/>
  <c r="V50" i="5"/>
  <c r="D50" i="5"/>
  <c r="AL50" i="7"/>
  <c r="AN50" i="7"/>
  <c r="E50" i="5"/>
  <c r="AM50" i="7"/>
  <c r="G132" i="4"/>
  <c r="V49" i="7"/>
  <c r="E49" i="7"/>
  <c r="AP49" i="7"/>
  <c r="AQ49" i="7"/>
  <c r="D49" i="7"/>
  <c r="AO49" i="7"/>
  <c r="V49" i="5"/>
  <c r="D49" i="5"/>
  <c r="AL49" i="7"/>
  <c r="AN49" i="7"/>
  <c r="E49" i="5"/>
  <c r="AM49" i="7"/>
  <c r="C46" i="7"/>
  <c r="C47" i="7"/>
  <c r="C48" i="7"/>
  <c r="C49" i="7"/>
  <c r="G131" i="4"/>
  <c r="V48" i="7"/>
  <c r="E48" i="7"/>
  <c r="AP48" i="7"/>
  <c r="AQ48" i="7"/>
  <c r="D48" i="7"/>
  <c r="AO48" i="7"/>
  <c r="V48" i="5"/>
  <c r="D48" i="5"/>
  <c r="AL48" i="7"/>
  <c r="AN48" i="7"/>
  <c r="E48" i="5"/>
  <c r="AM48" i="7"/>
  <c r="G130" i="4"/>
  <c r="V47" i="7"/>
  <c r="E47" i="7"/>
  <c r="AP47" i="7"/>
  <c r="AQ47" i="7"/>
  <c r="D47" i="7"/>
  <c r="AO47" i="7"/>
  <c r="V47" i="5"/>
  <c r="D47" i="5"/>
  <c r="AL47" i="7"/>
  <c r="AN47" i="7"/>
  <c r="E47" i="5"/>
  <c r="AM47" i="7"/>
  <c r="G129" i="4"/>
  <c r="V46" i="7"/>
  <c r="E46" i="7"/>
  <c r="AP46" i="7"/>
  <c r="AQ46" i="7"/>
  <c r="D46" i="7"/>
  <c r="AO46" i="7"/>
  <c r="V46" i="5"/>
  <c r="D46" i="5"/>
  <c r="AL46" i="7"/>
  <c r="AN46" i="7"/>
  <c r="E46" i="5"/>
  <c r="AM46" i="7"/>
  <c r="G128" i="4"/>
  <c r="V45" i="7"/>
  <c r="E45" i="7"/>
  <c r="AP45" i="7"/>
  <c r="AQ45" i="7"/>
  <c r="D45" i="7"/>
  <c r="AO45" i="7"/>
  <c r="V45" i="5"/>
  <c r="D45" i="5"/>
  <c r="AL45" i="7"/>
  <c r="AN45" i="7"/>
  <c r="E45" i="5"/>
  <c r="AM45" i="7"/>
  <c r="G50" i="4"/>
  <c r="T44" i="7"/>
  <c r="G57" i="4"/>
  <c r="U44" i="7"/>
  <c r="E44" i="7"/>
  <c r="AP44" i="7"/>
  <c r="AQ44" i="7"/>
  <c r="D44" i="7"/>
  <c r="AO44" i="7"/>
  <c r="T44" i="5"/>
  <c r="U44" i="5"/>
  <c r="D44" i="5"/>
  <c r="AL44" i="7"/>
  <c r="AN44" i="7"/>
  <c r="E44" i="5"/>
  <c r="AM44" i="7"/>
  <c r="G49" i="4"/>
  <c r="T43" i="7"/>
  <c r="G56" i="4"/>
  <c r="U43" i="7"/>
  <c r="E43" i="7"/>
  <c r="AP43" i="7"/>
  <c r="AQ43" i="7"/>
  <c r="D43" i="7"/>
  <c r="AO43" i="7"/>
  <c r="T43" i="5"/>
  <c r="U43" i="5"/>
  <c r="D43" i="5"/>
  <c r="AL43" i="7"/>
  <c r="AN43" i="7"/>
  <c r="E43" i="5"/>
  <c r="AM43" i="7"/>
  <c r="G48" i="4"/>
  <c r="T42" i="7"/>
  <c r="G55" i="4"/>
  <c r="U42" i="7"/>
  <c r="E42" i="7"/>
  <c r="AP42" i="7"/>
  <c r="AQ42" i="7"/>
  <c r="D42" i="7"/>
  <c r="AO42" i="7"/>
  <c r="T42" i="5"/>
  <c r="U42" i="5"/>
  <c r="D42" i="5"/>
  <c r="AL42" i="7"/>
  <c r="AN42" i="7"/>
  <c r="E42" i="5"/>
  <c r="AM42" i="7"/>
  <c r="C39" i="7"/>
  <c r="C40" i="7"/>
  <c r="C41" i="7"/>
  <c r="C42" i="7"/>
  <c r="G47" i="4"/>
  <c r="T41" i="7"/>
  <c r="G54" i="4"/>
  <c r="U41" i="7"/>
  <c r="E41" i="7"/>
  <c r="AP41" i="7"/>
  <c r="AQ41" i="7"/>
  <c r="D41" i="7"/>
  <c r="AO41" i="7"/>
  <c r="T41" i="5"/>
  <c r="U41" i="5"/>
  <c r="D41" i="5"/>
  <c r="AL41" i="7"/>
  <c r="AN41" i="7"/>
  <c r="E41" i="5"/>
  <c r="AM41" i="7"/>
  <c r="G46" i="4"/>
  <c r="T40" i="7"/>
  <c r="G53" i="4"/>
  <c r="U40" i="7"/>
  <c r="E40" i="7"/>
  <c r="AP40" i="7"/>
  <c r="AQ40" i="7"/>
  <c r="D40" i="7"/>
  <c r="AO40" i="7"/>
  <c r="T40" i="5"/>
  <c r="U40" i="5"/>
  <c r="D40" i="5"/>
  <c r="AL40" i="7"/>
  <c r="AN40" i="7"/>
  <c r="E40" i="5"/>
  <c r="AM40" i="7"/>
  <c r="G45" i="4"/>
  <c r="T39" i="7"/>
  <c r="G52" i="4"/>
  <c r="U39" i="7"/>
  <c r="E39" i="7"/>
  <c r="AP39" i="7"/>
  <c r="AQ39" i="7"/>
  <c r="D39" i="7"/>
  <c r="AO39" i="7"/>
  <c r="T39" i="5"/>
  <c r="U39" i="5"/>
  <c r="D39" i="5"/>
  <c r="AL39" i="7"/>
  <c r="AN39" i="7"/>
  <c r="E39" i="5"/>
  <c r="AM39" i="7"/>
  <c r="G44" i="4"/>
  <c r="T38" i="7"/>
  <c r="G51" i="4"/>
  <c r="U38" i="7"/>
  <c r="E38" i="7"/>
  <c r="AP38" i="7"/>
  <c r="AQ38" i="7"/>
  <c r="D38" i="7"/>
  <c r="AO38" i="7"/>
  <c r="T38" i="5"/>
  <c r="U38" i="5"/>
  <c r="D38" i="5"/>
  <c r="AL38" i="7"/>
  <c r="AN38" i="7"/>
  <c r="E38" i="5"/>
  <c r="AM38" i="7"/>
  <c r="G36" i="4"/>
  <c r="Q37" i="7"/>
  <c r="G43" i="4"/>
  <c r="R37" i="7"/>
  <c r="G127" i="4"/>
  <c r="S37" i="7"/>
  <c r="E37" i="7"/>
  <c r="AP37" i="7"/>
  <c r="AQ37" i="7"/>
  <c r="AS37" i="7"/>
  <c r="D37" i="7"/>
  <c r="AO37" i="7"/>
  <c r="Q37" i="5"/>
  <c r="R37" i="5"/>
  <c r="S37" i="5"/>
  <c r="D37" i="5"/>
  <c r="AL37" i="7"/>
  <c r="AN37" i="7"/>
  <c r="E37" i="5"/>
  <c r="AM37" i="7"/>
  <c r="G35" i="4"/>
  <c r="Q36" i="7"/>
  <c r="G42" i="4"/>
  <c r="R36" i="7"/>
  <c r="G126" i="4"/>
  <c r="S36" i="7"/>
  <c r="E36" i="7"/>
  <c r="AP36" i="7"/>
  <c r="AQ36" i="7"/>
  <c r="AS36" i="7"/>
  <c r="D36" i="7"/>
  <c r="AO36" i="7"/>
  <c r="Q36" i="5"/>
  <c r="R36" i="5"/>
  <c r="S36" i="5"/>
  <c r="D36" i="5"/>
  <c r="AL36" i="7"/>
  <c r="AN36" i="7"/>
  <c r="E36" i="5"/>
  <c r="AM36" i="7"/>
  <c r="G34" i="4"/>
  <c r="Q35" i="7"/>
  <c r="G41" i="4"/>
  <c r="R35" i="7"/>
  <c r="G125" i="4"/>
  <c r="S35" i="7"/>
  <c r="E35" i="7"/>
  <c r="AP35" i="7"/>
  <c r="AQ35" i="7"/>
  <c r="AS35" i="7"/>
  <c r="D35" i="7"/>
  <c r="AO35" i="7"/>
  <c r="Q35" i="5"/>
  <c r="R35" i="5"/>
  <c r="S35" i="5"/>
  <c r="D35" i="5"/>
  <c r="AL35" i="7"/>
  <c r="AN35" i="7"/>
  <c r="E35" i="5"/>
  <c r="AM35" i="7"/>
  <c r="C32" i="7"/>
  <c r="C33" i="7"/>
  <c r="C34" i="7"/>
  <c r="C35" i="7"/>
  <c r="G33" i="4"/>
  <c r="Q34" i="7"/>
  <c r="G40" i="4"/>
  <c r="R34" i="7"/>
  <c r="G124" i="4"/>
  <c r="S34" i="7"/>
  <c r="E34" i="7"/>
  <c r="AP34" i="7"/>
  <c r="AQ34" i="7"/>
  <c r="AS34" i="7"/>
  <c r="D34" i="7"/>
  <c r="AO34" i="7"/>
  <c r="Q34" i="5"/>
  <c r="R34" i="5"/>
  <c r="S34" i="5"/>
  <c r="D34" i="5"/>
  <c r="AL34" i="7"/>
  <c r="AN34" i="7"/>
  <c r="E34" i="5"/>
  <c r="AM34" i="7"/>
  <c r="G32" i="4"/>
  <c r="Q33" i="7"/>
  <c r="G39" i="4"/>
  <c r="R33" i="7"/>
  <c r="G123" i="4"/>
  <c r="S33" i="7"/>
  <c r="E33" i="7"/>
  <c r="AP33" i="7"/>
  <c r="AQ33" i="7"/>
  <c r="AS33" i="7"/>
  <c r="D33" i="7"/>
  <c r="AO33" i="7"/>
  <c r="Q33" i="5"/>
  <c r="R33" i="5"/>
  <c r="S33" i="5"/>
  <c r="D33" i="5"/>
  <c r="AL33" i="7"/>
  <c r="AN33" i="7"/>
  <c r="E33" i="5"/>
  <c r="AM33" i="7"/>
  <c r="G31" i="4"/>
  <c r="Q32" i="7"/>
  <c r="G38" i="4"/>
  <c r="R32" i="7"/>
  <c r="G122" i="4"/>
  <c r="S32" i="7"/>
  <c r="E32" i="7"/>
  <c r="AP32" i="7"/>
  <c r="AQ32" i="7"/>
  <c r="AS32" i="7"/>
  <c r="D32" i="7"/>
  <c r="AO32" i="7"/>
  <c r="Q32" i="5"/>
  <c r="R32" i="5"/>
  <c r="S32" i="5"/>
  <c r="D32" i="5"/>
  <c r="AL32" i="7"/>
  <c r="AN32" i="7"/>
  <c r="E32" i="5"/>
  <c r="AM32" i="7"/>
  <c r="G30" i="4"/>
  <c r="Q31" i="7"/>
  <c r="G37" i="4"/>
  <c r="R31" i="7"/>
  <c r="G121" i="4"/>
  <c r="S31" i="7"/>
  <c r="E31" i="7"/>
  <c r="AP31" i="7"/>
  <c r="AQ31" i="7"/>
  <c r="AS31" i="7"/>
  <c r="D31" i="7"/>
  <c r="AO31" i="7"/>
  <c r="Q31" i="5"/>
  <c r="R31" i="5"/>
  <c r="S31" i="5"/>
  <c r="D31" i="5"/>
  <c r="AL31" i="7"/>
  <c r="AN31" i="7"/>
  <c r="E31" i="5"/>
  <c r="AM31" i="7"/>
  <c r="A31" i="7"/>
  <c r="G106" i="4"/>
  <c r="N30" i="7"/>
  <c r="G113" i="4"/>
  <c r="O30" i="7"/>
  <c r="G120" i="4"/>
  <c r="P30" i="7"/>
  <c r="E30" i="7"/>
  <c r="AP30" i="7"/>
  <c r="AQ30" i="7"/>
  <c r="D30" i="7"/>
  <c r="AO30" i="7"/>
  <c r="N30" i="5"/>
  <c r="O30" i="5"/>
  <c r="P30" i="5"/>
  <c r="D30" i="5"/>
  <c r="AL30" i="7"/>
  <c r="AN30" i="7"/>
  <c r="E30" i="5"/>
  <c r="AM30" i="7"/>
  <c r="G99" i="4"/>
  <c r="M30" i="7"/>
  <c r="G105" i="4"/>
  <c r="N29" i="7"/>
  <c r="G112" i="4"/>
  <c r="O29" i="7"/>
  <c r="G119" i="4"/>
  <c r="P29" i="7"/>
  <c r="E29" i="7"/>
  <c r="AP29" i="7"/>
  <c r="AQ29" i="7"/>
  <c r="D29" i="7"/>
  <c r="AO29" i="7"/>
  <c r="N29" i="5"/>
  <c r="O29" i="5"/>
  <c r="P29" i="5"/>
  <c r="D29" i="5"/>
  <c r="AL29" i="7"/>
  <c r="AN29" i="7"/>
  <c r="E29" i="5"/>
  <c r="AM29" i="7"/>
  <c r="G98" i="4"/>
  <c r="M29" i="7"/>
  <c r="G104" i="4"/>
  <c r="N28" i="7"/>
  <c r="G111" i="4"/>
  <c r="O28" i="7"/>
  <c r="G118" i="4"/>
  <c r="P28" i="7"/>
  <c r="E28" i="7"/>
  <c r="AP28" i="7"/>
  <c r="AQ28" i="7"/>
  <c r="D28" i="7"/>
  <c r="AO28" i="7"/>
  <c r="N28" i="5"/>
  <c r="O28" i="5"/>
  <c r="P28" i="5"/>
  <c r="D28" i="5"/>
  <c r="AL28" i="7"/>
  <c r="AN28" i="7"/>
  <c r="E28" i="5"/>
  <c r="AM28" i="7"/>
  <c r="G97" i="4"/>
  <c r="M28" i="7"/>
  <c r="C25" i="7"/>
  <c r="C26" i="7"/>
  <c r="C27" i="7"/>
  <c r="C28" i="7"/>
  <c r="G103" i="4"/>
  <c r="N27" i="7"/>
  <c r="G110" i="4"/>
  <c r="O27" i="7"/>
  <c r="G117" i="4"/>
  <c r="P27" i="7"/>
  <c r="E27" i="7"/>
  <c r="AP27" i="7"/>
  <c r="AQ27" i="7"/>
  <c r="D27" i="7"/>
  <c r="AO27" i="7"/>
  <c r="N27" i="5"/>
  <c r="O27" i="5"/>
  <c r="P27" i="5"/>
  <c r="D27" i="5"/>
  <c r="AL27" i="7"/>
  <c r="AN27" i="7"/>
  <c r="E27" i="5"/>
  <c r="AM27" i="7"/>
  <c r="G96" i="4"/>
  <c r="M27" i="7"/>
  <c r="G102" i="4"/>
  <c r="N26" i="7"/>
  <c r="G109" i="4"/>
  <c r="O26" i="7"/>
  <c r="G116" i="4"/>
  <c r="P26" i="7"/>
  <c r="E26" i="7"/>
  <c r="AP26" i="7"/>
  <c r="AQ26" i="7"/>
  <c r="D26" i="7"/>
  <c r="AO26" i="7"/>
  <c r="N26" i="5"/>
  <c r="O26" i="5"/>
  <c r="P26" i="5"/>
  <c r="D26" i="5"/>
  <c r="AL26" i="7"/>
  <c r="AN26" i="7"/>
  <c r="E26" i="5"/>
  <c r="AM26" i="7"/>
  <c r="G95" i="4"/>
  <c r="M26" i="7"/>
  <c r="G101" i="4"/>
  <c r="N25" i="7"/>
  <c r="G108" i="4"/>
  <c r="O25" i="7"/>
  <c r="G115" i="4"/>
  <c r="P25" i="7"/>
  <c r="E25" i="7"/>
  <c r="AP25" i="7"/>
  <c r="AQ25" i="7"/>
  <c r="D25" i="7"/>
  <c r="AO25" i="7"/>
  <c r="N25" i="5"/>
  <c r="O25" i="5"/>
  <c r="P25" i="5"/>
  <c r="D25" i="5"/>
  <c r="AL25" i="7"/>
  <c r="AN25" i="7"/>
  <c r="E25" i="5"/>
  <c r="AM25" i="7"/>
  <c r="G94" i="4"/>
  <c r="M25" i="7"/>
  <c r="G100" i="4"/>
  <c r="N24" i="7"/>
  <c r="G107" i="4"/>
  <c r="O24" i="7"/>
  <c r="G114" i="4"/>
  <c r="P24" i="7"/>
  <c r="E24" i="7"/>
  <c r="AP24" i="7"/>
  <c r="AQ24" i="7"/>
  <c r="D24" i="7"/>
  <c r="AO24" i="7"/>
  <c r="N24" i="5"/>
  <c r="O24" i="5"/>
  <c r="P24" i="5"/>
  <c r="D24" i="5"/>
  <c r="AL24" i="7"/>
  <c r="AN24" i="7"/>
  <c r="E24" i="5"/>
  <c r="AM24" i="7"/>
  <c r="G93" i="4"/>
  <c r="M24" i="7"/>
  <c r="G22" i="4"/>
  <c r="J23" i="7"/>
  <c r="G29" i="4"/>
  <c r="K23" i="7"/>
  <c r="G92" i="4"/>
  <c r="L23" i="7"/>
  <c r="E23" i="7"/>
  <c r="AP23" i="7"/>
  <c r="AQ23" i="7"/>
  <c r="AS23" i="7"/>
  <c r="D23" i="7"/>
  <c r="AO23" i="7"/>
  <c r="J23" i="5"/>
  <c r="K23" i="5"/>
  <c r="L23" i="5"/>
  <c r="D23" i="5"/>
  <c r="AL23" i="7"/>
  <c r="AN23" i="7"/>
  <c r="E23" i="5"/>
  <c r="AM23" i="7"/>
  <c r="G21" i="4"/>
  <c r="J22" i="7"/>
  <c r="G28" i="4"/>
  <c r="K22" i="7"/>
  <c r="G91" i="4"/>
  <c r="L22" i="7"/>
  <c r="E22" i="7"/>
  <c r="AP22" i="7"/>
  <c r="AQ22" i="7"/>
  <c r="AS22" i="7"/>
  <c r="D22" i="7"/>
  <c r="AO22" i="7"/>
  <c r="J22" i="5"/>
  <c r="K22" i="5"/>
  <c r="L22" i="5"/>
  <c r="D22" i="5"/>
  <c r="AL22" i="7"/>
  <c r="AN22" i="7"/>
  <c r="E22" i="5"/>
  <c r="AM22" i="7"/>
  <c r="G20" i="4"/>
  <c r="J21" i="7"/>
  <c r="G27" i="4"/>
  <c r="K21" i="7"/>
  <c r="G90" i="4"/>
  <c r="L21" i="7"/>
  <c r="E21" i="7"/>
  <c r="AP21" i="7"/>
  <c r="AQ21" i="7"/>
  <c r="AS21" i="7"/>
  <c r="D21" i="7"/>
  <c r="AO21" i="7"/>
  <c r="J21" i="5"/>
  <c r="K21" i="5"/>
  <c r="L21" i="5"/>
  <c r="D21" i="5"/>
  <c r="AL21" i="7"/>
  <c r="AN21" i="7"/>
  <c r="E21" i="5"/>
  <c r="AM21" i="7"/>
  <c r="C18" i="7"/>
  <c r="C19" i="7"/>
  <c r="C20" i="7"/>
  <c r="C21" i="7"/>
  <c r="G19" i="4"/>
  <c r="J20" i="7"/>
  <c r="G26" i="4"/>
  <c r="K20" i="7"/>
  <c r="G89" i="4"/>
  <c r="L20" i="7"/>
  <c r="E20" i="7"/>
  <c r="AP20" i="7"/>
  <c r="AQ20" i="7"/>
  <c r="AS20" i="7"/>
  <c r="D20" i="7"/>
  <c r="AO20" i="7"/>
  <c r="J20" i="5"/>
  <c r="K20" i="5"/>
  <c r="L20" i="5"/>
  <c r="D20" i="5"/>
  <c r="AL20" i="7"/>
  <c r="AN20" i="7"/>
  <c r="E20" i="5"/>
  <c r="AM20" i="7"/>
  <c r="G18" i="4"/>
  <c r="J19" i="7"/>
  <c r="G25" i="4"/>
  <c r="K19" i="7"/>
  <c r="G88" i="4"/>
  <c r="L19" i="7"/>
  <c r="E19" i="7"/>
  <c r="AP19" i="7"/>
  <c r="AQ19" i="7"/>
  <c r="AS19" i="7"/>
  <c r="D19" i="7"/>
  <c r="AO19" i="7"/>
  <c r="J19" i="5"/>
  <c r="K19" i="5"/>
  <c r="L19" i="5"/>
  <c r="D19" i="5"/>
  <c r="AL19" i="7"/>
  <c r="AN19" i="7"/>
  <c r="E19" i="5"/>
  <c r="AM19" i="7"/>
  <c r="G17" i="4"/>
  <c r="J18" i="7"/>
  <c r="G24" i="4"/>
  <c r="K18" i="7"/>
  <c r="G87" i="4"/>
  <c r="L18" i="7"/>
  <c r="E18" i="7"/>
  <c r="AP18" i="7"/>
  <c r="AQ18" i="7"/>
  <c r="AS18" i="7"/>
  <c r="D18" i="7"/>
  <c r="AO18" i="7"/>
  <c r="J18" i="5"/>
  <c r="K18" i="5"/>
  <c r="L18" i="5"/>
  <c r="D18" i="5"/>
  <c r="AL18" i="7"/>
  <c r="AN18" i="7"/>
  <c r="E18" i="5"/>
  <c r="AM18" i="7"/>
  <c r="G16" i="4"/>
  <c r="J17" i="7"/>
  <c r="G23" i="4"/>
  <c r="K17" i="7"/>
  <c r="G86" i="4"/>
  <c r="L17" i="7"/>
  <c r="E17" i="7"/>
  <c r="AP17" i="7"/>
  <c r="AQ17" i="7"/>
  <c r="AS17" i="7"/>
  <c r="D17" i="7"/>
  <c r="AO17" i="7"/>
  <c r="J17" i="5"/>
  <c r="K17" i="5"/>
  <c r="L17" i="5"/>
  <c r="D17" i="5"/>
  <c r="AL17" i="7"/>
  <c r="AN17" i="7"/>
  <c r="E17" i="5"/>
  <c r="AM17" i="7"/>
  <c r="A17" i="7"/>
  <c r="G78" i="4"/>
  <c r="I16" i="7"/>
  <c r="E16" i="7"/>
  <c r="AP16" i="7"/>
  <c r="AQ16" i="7"/>
  <c r="D16" i="7"/>
  <c r="AO16" i="7"/>
  <c r="I16" i="5"/>
  <c r="D16" i="5"/>
  <c r="AL16" i="7"/>
  <c r="AN16" i="7"/>
  <c r="E16" i="5"/>
  <c r="AM16" i="7"/>
  <c r="G77" i="4"/>
  <c r="I15" i="7"/>
  <c r="E15" i="7"/>
  <c r="AP15" i="7"/>
  <c r="AQ15" i="7"/>
  <c r="D15" i="7"/>
  <c r="AO15" i="7"/>
  <c r="I15" i="5"/>
  <c r="D15" i="5"/>
  <c r="AL15" i="7"/>
  <c r="AN15" i="7"/>
  <c r="E15" i="5"/>
  <c r="AM15" i="7"/>
  <c r="G76" i="4"/>
  <c r="I14" i="7"/>
  <c r="E14" i="7"/>
  <c r="AP14" i="7"/>
  <c r="AQ14" i="7"/>
  <c r="D14" i="7"/>
  <c r="AO14" i="7"/>
  <c r="I14" i="5"/>
  <c r="D14" i="5"/>
  <c r="AL14" i="7"/>
  <c r="AN14" i="7"/>
  <c r="E14" i="5"/>
  <c r="AM14" i="7"/>
  <c r="C11" i="7"/>
  <c r="C12" i="7"/>
  <c r="C13" i="7"/>
  <c r="C14" i="7"/>
  <c r="G75" i="4"/>
  <c r="I13" i="7"/>
  <c r="E13" i="7"/>
  <c r="AP13" i="7"/>
  <c r="AQ13" i="7"/>
  <c r="D13" i="7"/>
  <c r="AO13" i="7"/>
  <c r="I13" i="5"/>
  <c r="D13" i="5"/>
  <c r="AL13" i="7"/>
  <c r="AN13" i="7"/>
  <c r="E13" i="5"/>
  <c r="AM13" i="7"/>
  <c r="G74" i="4"/>
  <c r="I12" i="7"/>
  <c r="E12" i="7"/>
  <c r="AP12" i="7"/>
  <c r="AQ12" i="7"/>
  <c r="D12" i="7"/>
  <c r="AO12" i="7"/>
  <c r="I12" i="5"/>
  <c r="D12" i="5"/>
  <c r="AL12" i="7"/>
  <c r="AN12" i="7"/>
  <c r="E12" i="5"/>
  <c r="AM12" i="7"/>
  <c r="G73" i="4"/>
  <c r="I11" i="7"/>
  <c r="E11" i="7"/>
  <c r="AP11" i="7"/>
  <c r="AQ11" i="7"/>
  <c r="D11" i="7"/>
  <c r="AO11" i="7"/>
  <c r="I11" i="5"/>
  <c r="D11" i="5"/>
  <c r="AL11" i="7"/>
  <c r="AN11" i="7"/>
  <c r="E11" i="5"/>
  <c r="AM11" i="7"/>
  <c r="G72" i="4"/>
  <c r="I10" i="7"/>
  <c r="E10" i="7"/>
  <c r="AP10" i="7"/>
  <c r="AQ10" i="7"/>
  <c r="D10" i="7"/>
  <c r="AO10" i="7"/>
  <c r="I10" i="5"/>
  <c r="D10" i="5"/>
  <c r="AL10" i="7"/>
  <c r="AN10" i="7"/>
  <c r="E10" i="5"/>
  <c r="AM10" i="7"/>
  <c r="G64" i="4"/>
  <c r="F9" i="7"/>
  <c r="G71" i="4"/>
  <c r="G9" i="7"/>
  <c r="G85" i="4"/>
  <c r="H9" i="7"/>
  <c r="E9" i="7"/>
  <c r="AP9" i="7"/>
  <c r="AQ9" i="7"/>
  <c r="AS9" i="7"/>
  <c r="D9" i="7"/>
  <c r="AO9" i="7"/>
  <c r="F9" i="5"/>
  <c r="G9" i="5"/>
  <c r="H9" i="5"/>
  <c r="D9" i="5"/>
  <c r="AL9" i="7"/>
  <c r="AN9" i="7"/>
  <c r="E9" i="5"/>
  <c r="AM9" i="7"/>
  <c r="G63" i="4"/>
  <c r="F8" i="7"/>
  <c r="G70" i="4"/>
  <c r="G8" i="7"/>
  <c r="G84" i="4"/>
  <c r="H8" i="7"/>
  <c r="E8" i="7"/>
  <c r="AP8" i="7"/>
  <c r="AQ8" i="7"/>
  <c r="AS8" i="7"/>
  <c r="D8" i="7"/>
  <c r="AO8" i="7"/>
  <c r="F8" i="5"/>
  <c r="G8" i="5"/>
  <c r="H8" i="5"/>
  <c r="D8" i="5"/>
  <c r="AL8" i="7"/>
  <c r="AN8" i="7"/>
  <c r="E8" i="5"/>
  <c r="AM8" i="7"/>
  <c r="G62" i="4"/>
  <c r="F7" i="7"/>
  <c r="G69" i="4"/>
  <c r="G7" i="7"/>
  <c r="G83" i="4"/>
  <c r="H7" i="7"/>
  <c r="E7" i="7"/>
  <c r="AP7" i="7"/>
  <c r="AQ7" i="7"/>
  <c r="AS7" i="7"/>
  <c r="D7" i="7"/>
  <c r="AO7" i="7"/>
  <c r="F7" i="5"/>
  <c r="G7" i="5"/>
  <c r="H7" i="5"/>
  <c r="D7" i="5"/>
  <c r="AL7" i="7"/>
  <c r="AN7" i="7"/>
  <c r="E7" i="5"/>
  <c r="AM7" i="7"/>
  <c r="C4" i="7"/>
  <c r="C5" i="7"/>
  <c r="C6" i="7"/>
  <c r="C7" i="7"/>
  <c r="G61" i="4"/>
  <c r="F6" i="7"/>
  <c r="G68" i="4"/>
  <c r="G6" i="7"/>
  <c r="G82" i="4"/>
  <c r="H6" i="7"/>
  <c r="E6" i="7"/>
  <c r="AP6" i="7"/>
  <c r="AQ6" i="7"/>
  <c r="AS6" i="7"/>
  <c r="D6" i="7"/>
  <c r="AO6" i="7"/>
  <c r="F6" i="5"/>
  <c r="G6" i="5"/>
  <c r="H6" i="5"/>
  <c r="D6" i="5"/>
  <c r="AL6" i="7"/>
  <c r="AN6" i="7"/>
  <c r="E6" i="5"/>
  <c r="AM6" i="7"/>
  <c r="G60" i="4"/>
  <c r="F5" i="7"/>
  <c r="G67" i="4"/>
  <c r="G5" i="7"/>
  <c r="G81" i="4"/>
  <c r="H5" i="7"/>
  <c r="E5" i="7"/>
  <c r="AP5" i="7"/>
  <c r="AQ5" i="7"/>
  <c r="AS5" i="7"/>
  <c r="D5" i="7"/>
  <c r="AO5" i="7"/>
  <c r="F5" i="5"/>
  <c r="G5" i="5"/>
  <c r="H5" i="5"/>
  <c r="D5" i="5"/>
  <c r="AL5" i="7"/>
  <c r="AN5" i="7"/>
  <c r="E5" i="5"/>
  <c r="AM5" i="7"/>
  <c r="G59" i="4"/>
  <c r="F4" i="7"/>
  <c r="G66" i="4"/>
  <c r="G4" i="7"/>
  <c r="G80" i="4"/>
  <c r="H4" i="7"/>
  <c r="E4" i="7"/>
  <c r="AP4" i="7"/>
  <c r="AQ4" i="7"/>
  <c r="AS4" i="7"/>
  <c r="D4" i="7"/>
  <c r="AO4" i="7"/>
  <c r="F4" i="5"/>
  <c r="G4" i="5"/>
  <c r="H4" i="5"/>
  <c r="D4" i="5"/>
  <c r="AL4" i="7"/>
  <c r="AN4" i="7"/>
  <c r="E4" i="5"/>
  <c r="AM4" i="7"/>
  <c r="G58" i="4"/>
  <c r="F3" i="7"/>
  <c r="G65" i="4"/>
  <c r="G3" i="7"/>
  <c r="G79" i="4"/>
  <c r="H3" i="7"/>
  <c r="E3" i="7"/>
  <c r="AP3" i="7"/>
  <c r="AQ3" i="7"/>
  <c r="AS3" i="7"/>
  <c r="D3" i="7"/>
  <c r="AO3" i="7"/>
  <c r="F3" i="5"/>
  <c r="G3" i="5"/>
  <c r="H3" i="5"/>
  <c r="D3" i="5"/>
  <c r="AL3" i="7"/>
  <c r="AN3" i="7"/>
  <c r="E3" i="5"/>
  <c r="AM3" i="7"/>
  <c r="A3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AM101" i="6"/>
  <c r="AL101" i="6"/>
  <c r="AJ101" i="6"/>
  <c r="AI101" i="6"/>
  <c r="AH101" i="6"/>
  <c r="E101" i="6"/>
  <c r="D101" i="6"/>
  <c r="AM100" i="6"/>
  <c r="AL100" i="6"/>
  <c r="AJ100" i="6"/>
  <c r="AI100" i="6"/>
  <c r="AH100" i="6"/>
  <c r="E100" i="6"/>
  <c r="D100" i="6"/>
  <c r="AM99" i="6"/>
  <c r="AL99" i="6"/>
  <c r="AJ99" i="6"/>
  <c r="AI99" i="6"/>
  <c r="AH99" i="6"/>
  <c r="E99" i="6"/>
  <c r="D99" i="6"/>
  <c r="C96" i="6"/>
  <c r="C97" i="6"/>
  <c r="C98" i="6"/>
  <c r="C99" i="6"/>
  <c r="AM98" i="6"/>
  <c r="AL98" i="6"/>
  <c r="AJ98" i="6"/>
  <c r="AI98" i="6"/>
  <c r="AH98" i="6"/>
  <c r="E98" i="6"/>
  <c r="D98" i="6"/>
  <c r="AM97" i="6"/>
  <c r="AL97" i="6"/>
  <c r="AJ97" i="6"/>
  <c r="AI97" i="6"/>
  <c r="AH97" i="6"/>
  <c r="E97" i="6"/>
  <c r="D97" i="6"/>
  <c r="AM96" i="6"/>
  <c r="AL96" i="6"/>
  <c r="AJ96" i="6"/>
  <c r="AI96" i="6"/>
  <c r="AH96" i="6"/>
  <c r="E96" i="6"/>
  <c r="D96" i="6"/>
  <c r="AM95" i="6"/>
  <c r="AL95" i="6"/>
  <c r="AJ95" i="6"/>
  <c r="AI95" i="6"/>
  <c r="AH95" i="6"/>
  <c r="E95" i="6"/>
  <c r="D95" i="6"/>
  <c r="A95" i="6"/>
  <c r="AM94" i="6"/>
  <c r="AL94" i="6"/>
  <c r="AG94" i="6"/>
  <c r="AF94" i="6"/>
  <c r="AE94" i="6"/>
  <c r="E94" i="6"/>
  <c r="D94" i="6"/>
  <c r="AM93" i="6"/>
  <c r="AL93" i="6"/>
  <c r="AG93" i="6"/>
  <c r="AF93" i="6"/>
  <c r="AE93" i="6"/>
  <c r="E93" i="6"/>
  <c r="D93" i="6"/>
  <c r="AM92" i="6"/>
  <c r="AL92" i="6"/>
  <c r="AG92" i="6"/>
  <c r="AF92" i="6"/>
  <c r="AE92" i="6"/>
  <c r="E92" i="6"/>
  <c r="D92" i="6"/>
  <c r="C89" i="6"/>
  <c r="C90" i="6"/>
  <c r="C91" i="6"/>
  <c r="C92" i="6"/>
  <c r="AM91" i="6"/>
  <c r="AL91" i="6"/>
  <c r="AG91" i="6"/>
  <c r="AF91" i="6"/>
  <c r="AE91" i="6"/>
  <c r="E91" i="6"/>
  <c r="D91" i="6"/>
  <c r="AM90" i="6"/>
  <c r="AL90" i="6"/>
  <c r="AG90" i="6"/>
  <c r="AF90" i="6"/>
  <c r="AE90" i="6"/>
  <c r="E90" i="6"/>
  <c r="D90" i="6"/>
  <c r="AM89" i="6"/>
  <c r="AL89" i="6"/>
  <c r="AG89" i="6"/>
  <c r="AF89" i="6"/>
  <c r="AE89" i="6"/>
  <c r="E89" i="6"/>
  <c r="D89" i="6"/>
  <c r="AM88" i="6"/>
  <c r="AL88" i="6"/>
  <c r="AG88" i="6"/>
  <c r="AF88" i="6"/>
  <c r="AE88" i="6"/>
  <c r="E88" i="6"/>
  <c r="D88" i="6"/>
  <c r="A88" i="6"/>
  <c r="AM87" i="6"/>
  <c r="AL87" i="6"/>
  <c r="AD87" i="6"/>
  <c r="E87" i="6"/>
  <c r="D87" i="6"/>
  <c r="AM86" i="6"/>
  <c r="AL86" i="6"/>
  <c r="AD86" i="6"/>
  <c r="E86" i="6"/>
  <c r="D86" i="6"/>
  <c r="AM85" i="6"/>
  <c r="AL85" i="6"/>
  <c r="AD85" i="6"/>
  <c r="E85" i="6"/>
  <c r="D85" i="6"/>
  <c r="C82" i="6"/>
  <c r="C83" i="6"/>
  <c r="C84" i="6"/>
  <c r="C85" i="6"/>
  <c r="AM84" i="6"/>
  <c r="AL84" i="6"/>
  <c r="AD84" i="6"/>
  <c r="E84" i="6"/>
  <c r="D84" i="6"/>
  <c r="AM83" i="6"/>
  <c r="AL83" i="6"/>
  <c r="AD83" i="6"/>
  <c r="E83" i="6"/>
  <c r="D83" i="6"/>
  <c r="AM82" i="6"/>
  <c r="AL82" i="6"/>
  <c r="AD82" i="6"/>
  <c r="E82" i="6"/>
  <c r="D82" i="6"/>
  <c r="AM81" i="6"/>
  <c r="AL81" i="6"/>
  <c r="AD81" i="6"/>
  <c r="E81" i="6"/>
  <c r="D81" i="6"/>
  <c r="A81" i="6"/>
  <c r="AM80" i="6"/>
  <c r="AL80" i="6"/>
  <c r="AC80" i="6"/>
  <c r="AB80" i="6"/>
  <c r="AA80" i="6"/>
  <c r="E80" i="6"/>
  <c r="D80" i="6"/>
  <c r="AM79" i="6"/>
  <c r="AL79" i="6"/>
  <c r="AC79" i="6"/>
  <c r="AB79" i="6"/>
  <c r="AA79" i="6"/>
  <c r="E79" i="6"/>
  <c r="D79" i="6"/>
  <c r="AM78" i="6"/>
  <c r="AL78" i="6"/>
  <c r="AC78" i="6"/>
  <c r="AB78" i="6"/>
  <c r="AA78" i="6"/>
  <c r="E78" i="6"/>
  <c r="D78" i="6"/>
  <c r="C75" i="6"/>
  <c r="C76" i="6"/>
  <c r="C77" i="6"/>
  <c r="C78" i="6"/>
  <c r="AM77" i="6"/>
  <c r="AL77" i="6"/>
  <c r="AC77" i="6"/>
  <c r="AB77" i="6"/>
  <c r="AA77" i="6"/>
  <c r="E77" i="6"/>
  <c r="D77" i="6"/>
  <c r="AM76" i="6"/>
  <c r="AL76" i="6"/>
  <c r="AC76" i="6"/>
  <c r="AB76" i="6"/>
  <c r="AA76" i="6"/>
  <c r="E76" i="6"/>
  <c r="D76" i="6"/>
  <c r="AM75" i="6"/>
  <c r="AL75" i="6"/>
  <c r="AC75" i="6"/>
  <c r="AB75" i="6"/>
  <c r="AA75" i="6"/>
  <c r="E75" i="6"/>
  <c r="D75" i="6"/>
  <c r="AM74" i="6"/>
  <c r="AL74" i="6"/>
  <c r="AC74" i="6"/>
  <c r="AB74" i="6"/>
  <c r="AA74" i="6"/>
  <c r="E74" i="6"/>
  <c r="D74" i="6"/>
  <c r="AT73" i="6"/>
  <c r="AU73" i="6"/>
  <c r="AM73" i="6"/>
  <c r="AL73" i="6"/>
  <c r="Z73" i="6"/>
  <c r="E73" i="6"/>
  <c r="D73" i="6"/>
  <c r="AT72" i="6"/>
  <c r="AU72" i="6"/>
  <c r="AM72" i="6"/>
  <c r="AL72" i="6"/>
  <c r="Z72" i="6"/>
  <c r="E72" i="6"/>
  <c r="D72" i="6"/>
  <c r="AT71" i="6"/>
  <c r="AU71" i="6"/>
  <c r="AM71" i="6"/>
  <c r="AL71" i="6"/>
  <c r="Z71" i="6"/>
  <c r="E71" i="6"/>
  <c r="D71" i="6"/>
  <c r="C68" i="6"/>
  <c r="C69" i="6"/>
  <c r="C70" i="6"/>
  <c r="C71" i="6"/>
  <c r="AT70" i="6"/>
  <c r="AU70" i="6"/>
  <c r="AM70" i="6"/>
  <c r="AL70" i="6"/>
  <c r="Z70" i="6"/>
  <c r="E70" i="6"/>
  <c r="D70" i="6"/>
  <c r="AT69" i="6"/>
  <c r="AU69" i="6"/>
  <c r="AM69" i="6"/>
  <c r="AL69" i="6"/>
  <c r="Z69" i="6"/>
  <c r="E69" i="6"/>
  <c r="D69" i="6"/>
  <c r="AT68" i="6"/>
  <c r="AU68" i="6"/>
  <c r="AM68" i="6"/>
  <c r="AL68" i="6"/>
  <c r="Z68" i="6"/>
  <c r="E68" i="6"/>
  <c r="D68" i="6"/>
  <c r="AT67" i="6"/>
  <c r="AU67" i="6"/>
  <c r="AM67" i="6"/>
  <c r="AL67" i="6"/>
  <c r="Z67" i="6"/>
  <c r="E67" i="6"/>
  <c r="D67" i="6"/>
  <c r="A67" i="6"/>
  <c r="AM66" i="6"/>
  <c r="AL66" i="6"/>
  <c r="Y66" i="6"/>
  <c r="X66" i="6"/>
  <c r="E66" i="6"/>
  <c r="D66" i="6"/>
  <c r="AM65" i="6"/>
  <c r="AL65" i="6"/>
  <c r="Y65" i="6"/>
  <c r="X65" i="6"/>
  <c r="E65" i="6"/>
  <c r="D65" i="6"/>
  <c r="AM64" i="6"/>
  <c r="AL64" i="6"/>
  <c r="Y64" i="6"/>
  <c r="X64" i="6"/>
  <c r="E64" i="6"/>
  <c r="D64" i="6"/>
  <c r="C61" i="6"/>
  <c r="C62" i="6"/>
  <c r="C63" i="6"/>
  <c r="C64" i="6"/>
  <c r="AM63" i="6"/>
  <c r="AL63" i="6"/>
  <c r="Y63" i="6"/>
  <c r="X63" i="6"/>
  <c r="E63" i="6"/>
  <c r="D63" i="6"/>
  <c r="AM62" i="6"/>
  <c r="AL62" i="6"/>
  <c r="Y62" i="6"/>
  <c r="X62" i="6"/>
  <c r="E62" i="6"/>
  <c r="D62" i="6"/>
  <c r="AM61" i="6"/>
  <c r="AL61" i="6"/>
  <c r="Y61" i="6"/>
  <c r="X61" i="6"/>
  <c r="E61" i="6"/>
  <c r="D61" i="6"/>
  <c r="AM60" i="6"/>
  <c r="AL60" i="6"/>
  <c r="Y60" i="6"/>
  <c r="X60" i="6"/>
  <c r="E60" i="6"/>
  <c r="D60" i="6"/>
  <c r="A60" i="6"/>
  <c r="AM59" i="6"/>
  <c r="AL59" i="6"/>
  <c r="W59" i="6"/>
  <c r="E59" i="6"/>
  <c r="D59" i="6"/>
  <c r="AM58" i="6"/>
  <c r="AL58" i="6"/>
  <c r="W58" i="6"/>
  <c r="E58" i="6"/>
  <c r="D58" i="6"/>
  <c r="AM57" i="6"/>
  <c r="AL57" i="6"/>
  <c r="W57" i="6"/>
  <c r="E57" i="6"/>
  <c r="D57" i="6"/>
  <c r="C54" i="6"/>
  <c r="C55" i="6"/>
  <c r="C56" i="6"/>
  <c r="C57" i="6"/>
  <c r="AM56" i="6"/>
  <c r="AL56" i="6"/>
  <c r="W56" i="6"/>
  <c r="E56" i="6"/>
  <c r="D56" i="6"/>
  <c r="AM55" i="6"/>
  <c r="AL55" i="6"/>
  <c r="W55" i="6"/>
  <c r="E55" i="6"/>
  <c r="D55" i="6"/>
  <c r="AM54" i="6"/>
  <c r="AL54" i="6"/>
  <c r="W54" i="6"/>
  <c r="E54" i="6"/>
  <c r="D54" i="6"/>
  <c r="AM53" i="6"/>
  <c r="AL53" i="6"/>
  <c r="W53" i="6"/>
  <c r="E53" i="6"/>
  <c r="D53" i="6"/>
  <c r="A53" i="6"/>
  <c r="V51" i="6"/>
  <c r="E51" i="6"/>
  <c r="AP51" i="6"/>
  <c r="AQ51" i="6"/>
  <c r="D51" i="6"/>
  <c r="AO51" i="6"/>
  <c r="AL51" i="6"/>
  <c r="AN51" i="6"/>
  <c r="AM51" i="6"/>
  <c r="V50" i="6"/>
  <c r="E50" i="6"/>
  <c r="AP50" i="6"/>
  <c r="AQ50" i="6"/>
  <c r="D50" i="6"/>
  <c r="AO50" i="6"/>
  <c r="AL50" i="6"/>
  <c r="AN50" i="6"/>
  <c r="AM50" i="6"/>
  <c r="V49" i="6"/>
  <c r="E49" i="6"/>
  <c r="AP49" i="6"/>
  <c r="AQ49" i="6"/>
  <c r="D49" i="6"/>
  <c r="AO49" i="6"/>
  <c r="AL49" i="6"/>
  <c r="AN49" i="6"/>
  <c r="AM49" i="6"/>
  <c r="C46" i="6"/>
  <c r="C47" i="6"/>
  <c r="C48" i="6"/>
  <c r="C49" i="6"/>
  <c r="V48" i="6"/>
  <c r="E48" i="6"/>
  <c r="AP48" i="6"/>
  <c r="AQ48" i="6"/>
  <c r="D48" i="6"/>
  <c r="AO48" i="6"/>
  <c r="AL48" i="6"/>
  <c r="AN48" i="6"/>
  <c r="AM48" i="6"/>
  <c r="V47" i="6"/>
  <c r="E47" i="6"/>
  <c r="AP47" i="6"/>
  <c r="AQ47" i="6"/>
  <c r="D47" i="6"/>
  <c r="AO47" i="6"/>
  <c r="AL47" i="6"/>
  <c r="AN47" i="6"/>
  <c r="AM47" i="6"/>
  <c r="V46" i="6"/>
  <c r="E46" i="6"/>
  <c r="AP46" i="6"/>
  <c r="AQ46" i="6"/>
  <c r="D46" i="6"/>
  <c r="AO46" i="6"/>
  <c r="AL46" i="6"/>
  <c r="AN46" i="6"/>
  <c r="AM46" i="6"/>
  <c r="V45" i="6"/>
  <c r="E45" i="6"/>
  <c r="AP45" i="6"/>
  <c r="AQ45" i="6"/>
  <c r="D45" i="6"/>
  <c r="AO45" i="6"/>
  <c r="AL45" i="6"/>
  <c r="AN45" i="6"/>
  <c r="AM45" i="6"/>
  <c r="T44" i="6"/>
  <c r="U44" i="6"/>
  <c r="E44" i="6"/>
  <c r="AP44" i="6"/>
  <c r="AQ44" i="6"/>
  <c r="D44" i="6"/>
  <c r="AO44" i="6"/>
  <c r="AL44" i="6"/>
  <c r="AN44" i="6"/>
  <c r="AM44" i="6"/>
  <c r="T43" i="6"/>
  <c r="U43" i="6"/>
  <c r="E43" i="6"/>
  <c r="AP43" i="6"/>
  <c r="AQ43" i="6"/>
  <c r="D43" i="6"/>
  <c r="AO43" i="6"/>
  <c r="AL43" i="6"/>
  <c r="AN43" i="6"/>
  <c r="AM43" i="6"/>
  <c r="T42" i="6"/>
  <c r="U42" i="6"/>
  <c r="E42" i="6"/>
  <c r="AP42" i="6"/>
  <c r="AQ42" i="6"/>
  <c r="D42" i="6"/>
  <c r="AO42" i="6"/>
  <c r="AL42" i="6"/>
  <c r="AN42" i="6"/>
  <c r="AM42" i="6"/>
  <c r="C39" i="6"/>
  <c r="C40" i="6"/>
  <c r="C41" i="6"/>
  <c r="C42" i="6"/>
  <c r="T41" i="6"/>
  <c r="U41" i="6"/>
  <c r="E41" i="6"/>
  <c r="AP41" i="6"/>
  <c r="AQ41" i="6"/>
  <c r="D41" i="6"/>
  <c r="AO41" i="6"/>
  <c r="AL41" i="6"/>
  <c r="AN41" i="6"/>
  <c r="AM41" i="6"/>
  <c r="T40" i="6"/>
  <c r="U40" i="6"/>
  <c r="E40" i="6"/>
  <c r="AP40" i="6"/>
  <c r="AQ40" i="6"/>
  <c r="D40" i="6"/>
  <c r="AO40" i="6"/>
  <c r="AL40" i="6"/>
  <c r="AN40" i="6"/>
  <c r="AM40" i="6"/>
  <c r="T39" i="6"/>
  <c r="U39" i="6"/>
  <c r="E39" i="6"/>
  <c r="AP39" i="6"/>
  <c r="AQ39" i="6"/>
  <c r="D39" i="6"/>
  <c r="AO39" i="6"/>
  <c r="AL39" i="6"/>
  <c r="AN39" i="6"/>
  <c r="AM39" i="6"/>
  <c r="T38" i="6"/>
  <c r="U38" i="6"/>
  <c r="E38" i="6"/>
  <c r="AP38" i="6"/>
  <c r="AQ38" i="6"/>
  <c r="D38" i="6"/>
  <c r="AO38" i="6"/>
  <c r="AL38" i="6"/>
  <c r="AN38" i="6"/>
  <c r="AM38" i="6"/>
  <c r="Q37" i="6"/>
  <c r="R37" i="6"/>
  <c r="S37" i="6"/>
  <c r="E37" i="6"/>
  <c r="AP37" i="6"/>
  <c r="AQ37" i="6"/>
  <c r="AS37" i="6"/>
  <c r="D37" i="6"/>
  <c r="AO37" i="6"/>
  <c r="AL37" i="6"/>
  <c r="AN37" i="6"/>
  <c r="AM37" i="6"/>
  <c r="Q36" i="6"/>
  <c r="R36" i="6"/>
  <c r="S36" i="6"/>
  <c r="E36" i="6"/>
  <c r="AP36" i="6"/>
  <c r="AQ36" i="6"/>
  <c r="AS36" i="6"/>
  <c r="D36" i="6"/>
  <c r="AO36" i="6"/>
  <c r="AL36" i="6"/>
  <c r="AN36" i="6"/>
  <c r="AM36" i="6"/>
  <c r="Q35" i="6"/>
  <c r="R35" i="6"/>
  <c r="S35" i="6"/>
  <c r="E35" i="6"/>
  <c r="AP35" i="6"/>
  <c r="AQ35" i="6"/>
  <c r="AS35" i="6"/>
  <c r="D35" i="6"/>
  <c r="AO35" i="6"/>
  <c r="AL35" i="6"/>
  <c r="AN35" i="6"/>
  <c r="AM35" i="6"/>
  <c r="C32" i="6"/>
  <c r="C33" i="6"/>
  <c r="C34" i="6"/>
  <c r="C35" i="6"/>
  <c r="Q34" i="6"/>
  <c r="R34" i="6"/>
  <c r="S34" i="6"/>
  <c r="E34" i="6"/>
  <c r="AP34" i="6"/>
  <c r="AQ34" i="6"/>
  <c r="AS34" i="6"/>
  <c r="D34" i="6"/>
  <c r="AO34" i="6"/>
  <c r="AL34" i="6"/>
  <c r="AN34" i="6"/>
  <c r="AM34" i="6"/>
  <c r="Q33" i="6"/>
  <c r="R33" i="6"/>
  <c r="S33" i="6"/>
  <c r="E33" i="6"/>
  <c r="AP33" i="6"/>
  <c r="AQ33" i="6"/>
  <c r="AS33" i="6"/>
  <c r="D33" i="6"/>
  <c r="AO33" i="6"/>
  <c r="AL33" i="6"/>
  <c r="AN33" i="6"/>
  <c r="AM33" i="6"/>
  <c r="Q32" i="6"/>
  <c r="R32" i="6"/>
  <c r="S32" i="6"/>
  <c r="E32" i="6"/>
  <c r="AP32" i="6"/>
  <c r="AQ32" i="6"/>
  <c r="AS32" i="6"/>
  <c r="D32" i="6"/>
  <c r="AO32" i="6"/>
  <c r="AL32" i="6"/>
  <c r="AN32" i="6"/>
  <c r="AM32" i="6"/>
  <c r="Q31" i="6"/>
  <c r="R31" i="6"/>
  <c r="S31" i="6"/>
  <c r="E31" i="6"/>
  <c r="AP31" i="6"/>
  <c r="AQ31" i="6"/>
  <c r="AS31" i="6"/>
  <c r="D31" i="6"/>
  <c r="AO31" i="6"/>
  <c r="AL31" i="6"/>
  <c r="AN31" i="6"/>
  <c r="AM31" i="6"/>
  <c r="A31" i="6"/>
  <c r="N30" i="6"/>
  <c r="O30" i="6"/>
  <c r="P30" i="6"/>
  <c r="E30" i="6"/>
  <c r="AP30" i="6"/>
  <c r="AQ30" i="6"/>
  <c r="D30" i="6"/>
  <c r="AO30" i="6"/>
  <c r="AL30" i="6"/>
  <c r="AN30" i="6"/>
  <c r="AM30" i="6"/>
  <c r="M30" i="6"/>
  <c r="N29" i="6"/>
  <c r="O29" i="6"/>
  <c r="P29" i="6"/>
  <c r="E29" i="6"/>
  <c r="AP29" i="6"/>
  <c r="AQ29" i="6"/>
  <c r="D29" i="6"/>
  <c r="AO29" i="6"/>
  <c r="AL29" i="6"/>
  <c r="AN29" i="6"/>
  <c r="AM29" i="6"/>
  <c r="M29" i="6"/>
  <c r="N28" i="6"/>
  <c r="O28" i="6"/>
  <c r="P28" i="6"/>
  <c r="E28" i="6"/>
  <c r="AP28" i="6"/>
  <c r="AQ28" i="6"/>
  <c r="D28" i="6"/>
  <c r="AO28" i="6"/>
  <c r="AL28" i="6"/>
  <c r="AN28" i="6"/>
  <c r="AM28" i="6"/>
  <c r="M28" i="6"/>
  <c r="C25" i="6"/>
  <c r="C26" i="6"/>
  <c r="C27" i="6"/>
  <c r="C28" i="6"/>
  <c r="N27" i="6"/>
  <c r="O27" i="6"/>
  <c r="P27" i="6"/>
  <c r="E27" i="6"/>
  <c r="AP27" i="6"/>
  <c r="AQ27" i="6"/>
  <c r="D27" i="6"/>
  <c r="AO27" i="6"/>
  <c r="AL27" i="6"/>
  <c r="AN27" i="6"/>
  <c r="AM27" i="6"/>
  <c r="M27" i="6"/>
  <c r="N26" i="6"/>
  <c r="O26" i="6"/>
  <c r="P26" i="6"/>
  <c r="E26" i="6"/>
  <c r="AP26" i="6"/>
  <c r="AQ26" i="6"/>
  <c r="D26" i="6"/>
  <c r="AO26" i="6"/>
  <c r="AL26" i="6"/>
  <c r="AN26" i="6"/>
  <c r="AM26" i="6"/>
  <c r="M26" i="6"/>
  <c r="N25" i="6"/>
  <c r="O25" i="6"/>
  <c r="P25" i="6"/>
  <c r="E25" i="6"/>
  <c r="AP25" i="6"/>
  <c r="AQ25" i="6"/>
  <c r="D25" i="6"/>
  <c r="AO25" i="6"/>
  <c r="AL25" i="6"/>
  <c r="AN25" i="6"/>
  <c r="AM25" i="6"/>
  <c r="M25" i="6"/>
  <c r="N24" i="6"/>
  <c r="O24" i="6"/>
  <c r="P24" i="6"/>
  <c r="E24" i="6"/>
  <c r="AP24" i="6"/>
  <c r="AQ24" i="6"/>
  <c r="D24" i="6"/>
  <c r="AO24" i="6"/>
  <c r="AL24" i="6"/>
  <c r="AN24" i="6"/>
  <c r="AM24" i="6"/>
  <c r="M24" i="6"/>
  <c r="J23" i="6"/>
  <c r="K23" i="6"/>
  <c r="L23" i="6"/>
  <c r="E23" i="6"/>
  <c r="AP23" i="6"/>
  <c r="AQ23" i="6"/>
  <c r="AS23" i="6"/>
  <c r="D23" i="6"/>
  <c r="AO23" i="6"/>
  <c r="AL23" i="6"/>
  <c r="AN23" i="6"/>
  <c r="AM23" i="6"/>
  <c r="J22" i="6"/>
  <c r="K22" i="6"/>
  <c r="L22" i="6"/>
  <c r="E22" i="6"/>
  <c r="AP22" i="6"/>
  <c r="AQ22" i="6"/>
  <c r="AS22" i="6"/>
  <c r="D22" i="6"/>
  <c r="AO22" i="6"/>
  <c r="AL22" i="6"/>
  <c r="AN22" i="6"/>
  <c r="AM22" i="6"/>
  <c r="J21" i="6"/>
  <c r="K21" i="6"/>
  <c r="L21" i="6"/>
  <c r="E21" i="6"/>
  <c r="AP21" i="6"/>
  <c r="AQ21" i="6"/>
  <c r="AS21" i="6"/>
  <c r="D21" i="6"/>
  <c r="AO21" i="6"/>
  <c r="AL21" i="6"/>
  <c r="AN21" i="6"/>
  <c r="AM21" i="6"/>
  <c r="C18" i="6"/>
  <c r="C19" i="6"/>
  <c r="C20" i="6"/>
  <c r="C21" i="6"/>
  <c r="J20" i="6"/>
  <c r="K20" i="6"/>
  <c r="L20" i="6"/>
  <c r="E20" i="6"/>
  <c r="AP20" i="6"/>
  <c r="AQ20" i="6"/>
  <c r="AS20" i="6"/>
  <c r="D20" i="6"/>
  <c r="AO20" i="6"/>
  <c r="AL20" i="6"/>
  <c r="AN20" i="6"/>
  <c r="AM20" i="6"/>
  <c r="J19" i="6"/>
  <c r="K19" i="6"/>
  <c r="L19" i="6"/>
  <c r="E19" i="6"/>
  <c r="AP19" i="6"/>
  <c r="AQ19" i="6"/>
  <c r="AS19" i="6"/>
  <c r="D19" i="6"/>
  <c r="AO19" i="6"/>
  <c r="AL19" i="6"/>
  <c r="AN19" i="6"/>
  <c r="AM19" i="6"/>
  <c r="J18" i="6"/>
  <c r="K18" i="6"/>
  <c r="L18" i="6"/>
  <c r="E18" i="6"/>
  <c r="AP18" i="6"/>
  <c r="AQ18" i="6"/>
  <c r="AS18" i="6"/>
  <c r="D18" i="6"/>
  <c r="AO18" i="6"/>
  <c r="AL18" i="6"/>
  <c r="AN18" i="6"/>
  <c r="AM18" i="6"/>
  <c r="J17" i="6"/>
  <c r="K17" i="6"/>
  <c r="L17" i="6"/>
  <c r="E17" i="6"/>
  <c r="AP17" i="6"/>
  <c r="AQ17" i="6"/>
  <c r="AS17" i="6"/>
  <c r="D17" i="6"/>
  <c r="AO17" i="6"/>
  <c r="AL17" i="6"/>
  <c r="AN17" i="6"/>
  <c r="AM17" i="6"/>
  <c r="A17" i="6"/>
  <c r="I16" i="6"/>
  <c r="E16" i="6"/>
  <c r="AP16" i="6"/>
  <c r="AQ16" i="6"/>
  <c r="D16" i="6"/>
  <c r="AO16" i="6"/>
  <c r="AL16" i="6"/>
  <c r="AN16" i="6"/>
  <c r="AM16" i="6"/>
  <c r="I15" i="6"/>
  <c r="E15" i="6"/>
  <c r="AP15" i="6"/>
  <c r="AQ15" i="6"/>
  <c r="D15" i="6"/>
  <c r="AO15" i="6"/>
  <c r="AL15" i="6"/>
  <c r="AN15" i="6"/>
  <c r="AM15" i="6"/>
  <c r="I14" i="6"/>
  <c r="E14" i="6"/>
  <c r="AP14" i="6"/>
  <c r="AQ14" i="6"/>
  <c r="D14" i="6"/>
  <c r="AO14" i="6"/>
  <c r="AL14" i="6"/>
  <c r="AN14" i="6"/>
  <c r="AM14" i="6"/>
  <c r="C11" i="6"/>
  <c r="C12" i="6"/>
  <c r="C13" i="6"/>
  <c r="C14" i="6"/>
  <c r="I13" i="6"/>
  <c r="E13" i="6"/>
  <c r="AP13" i="6"/>
  <c r="AQ13" i="6"/>
  <c r="D13" i="6"/>
  <c r="AO13" i="6"/>
  <c r="AL13" i="6"/>
  <c r="AN13" i="6"/>
  <c r="AM13" i="6"/>
  <c r="I12" i="6"/>
  <c r="E12" i="6"/>
  <c r="AP12" i="6"/>
  <c r="AQ12" i="6"/>
  <c r="D12" i="6"/>
  <c r="AO12" i="6"/>
  <c r="AL12" i="6"/>
  <c r="AN12" i="6"/>
  <c r="AM12" i="6"/>
  <c r="I11" i="6"/>
  <c r="E11" i="6"/>
  <c r="AP11" i="6"/>
  <c r="AQ11" i="6"/>
  <c r="D11" i="6"/>
  <c r="AO11" i="6"/>
  <c r="AL11" i="6"/>
  <c r="AN11" i="6"/>
  <c r="AM11" i="6"/>
  <c r="I10" i="6"/>
  <c r="E10" i="6"/>
  <c r="AP10" i="6"/>
  <c r="AQ10" i="6"/>
  <c r="D10" i="6"/>
  <c r="AO10" i="6"/>
  <c r="AL10" i="6"/>
  <c r="AN10" i="6"/>
  <c r="AM10" i="6"/>
  <c r="F9" i="6"/>
  <c r="G9" i="6"/>
  <c r="H9" i="6"/>
  <c r="E9" i="6"/>
  <c r="AP9" i="6"/>
  <c r="AQ9" i="6"/>
  <c r="AS9" i="6"/>
  <c r="D9" i="6"/>
  <c r="AO9" i="6"/>
  <c r="AL9" i="6"/>
  <c r="AN9" i="6"/>
  <c r="AM9" i="6"/>
  <c r="F8" i="6"/>
  <c r="G8" i="6"/>
  <c r="H8" i="6"/>
  <c r="E8" i="6"/>
  <c r="AP8" i="6"/>
  <c r="AQ8" i="6"/>
  <c r="AS8" i="6"/>
  <c r="D8" i="6"/>
  <c r="AO8" i="6"/>
  <c r="AL8" i="6"/>
  <c r="AN8" i="6"/>
  <c r="AM8" i="6"/>
  <c r="F7" i="6"/>
  <c r="G7" i="6"/>
  <c r="H7" i="6"/>
  <c r="E7" i="6"/>
  <c r="AP7" i="6"/>
  <c r="AQ7" i="6"/>
  <c r="AS7" i="6"/>
  <c r="D7" i="6"/>
  <c r="AO7" i="6"/>
  <c r="AL7" i="6"/>
  <c r="AN7" i="6"/>
  <c r="AM7" i="6"/>
  <c r="C4" i="6"/>
  <c r="C5" i="6"/>
  <c r="C6" i="6"/>
  <c r="C7" i="6"/>
  <c r="F6" i="6"/>
  <c r="G6" i="6"/>
  <c r="H6" i="6"/>
  <c r="E6" i="6"/>
  <c r="AP6" i="6"/>
  <c r="AQ6" i="6"/>
  <c r="AS6" i="6"/>
  <c r="D6" i="6"/>
  <c r="AO6" i="6"/>
  <c r="AL6" i="6"/>
  <c r="AN6" i="6"/>
  <c r="AM6" i="6"/>
  <c r="F5" i="6"/>
  <c r="G5" i="6"/>
  <c r="H5" i="6"/>
  <c r="E5" i="6"/>
  <c r="AP5" i="6"/>
  <c r="AQ5" i="6"/>
  <c r="AS5" i="6"/>
  <c r="D5" i="6"/>
  <c r="AO5" i="6"/>
  <c r="AL5" i="6"/>
  <c r="AN5" i="6"/>
  <c r="AM5" i="6"/>
  <c r="F4" i="6"/>
  <c r="G4" i="6"/>
  <c r="H4" i="6"/>
  <c r="E4" i="6"/>
  <c r="AP4" i="6"/>
  <c r="AQ4" i="6"/>
  <c r="AS4" i="6"/>
  <c r="D4" i="6"/>
  <c r="AO4" i="6"/>
  <c r="AL4" i="6"/>
  <c r="AN4" i="6"/>
  <c r="AM4" i="6"/>
  <c r="F3" i="6"/>
  <c r="G3" i="6"/>
  <c r="H3" i="6"/>
  <c r="E3" i="6"/>
  <c r="AP3" i="6"/>
  <c r="AQ3" i="6"/>
  <c r="AS3" i="6"/>
  <c r="D3" i="6"/>
  <c r="AO3" i="6"/>
  <c r="AL3" i="6"/>
  <c r="AN3" i="6"/>
  <c r="AM3" i="6"/>
  <c r="A3" i="6"/>
  <c r="AJ1" i="6"/>
  <c r="AI1" i="6"/>
  <c r="AH1" i="6"/>
  <c r="AG1" i="6"/>
  <c r="AF1" i="6"/>
  <c r="AE1" i="6"/>
  <c r="AD1" i="6"/>
  <c r="AC1" i="6"/>
  <c r="AB1" i="6"/>
  <c r="AA1" i="6"/>
  <c r="Z1" i="6"/>
  <c r="Y1" i="6"/>
  <c r="X1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AL108" i="5"/>
  <c r="AM108" i="5"/>
  <c r="E9" i="1"/>
  <c r="F9" i="1"/>
  <c r="G9" i="1"/>
  <c r="AP108" i="5"/>
  <c r="AL107" i="5"/>
  <c r="AM107" i="5"/>
  <c r="AP107" i="5"/>
  <c r="AL106" i="5"/>
  <c r="AM106" i="5"/>
  <c r="AP106" i="5"/>
  <c r="C103" i="5"/>
  <c r="C104" i="5"/>
  <c r="C105" i="5"/>
  <c r="C106" i="5"/>
  <c r="AL105" i="5"/>
  <c r="AM105" i="5"/>
  <c r="AP105" i="5"/>
  <c r="AL104" i="5"/>
  <c r="AM104" i="5"/>
  <c r="AP104" i="5"/>
  <c r="AL103" i="5"/>
  <c r="AM103" i="5"/>
  <c r="AP103" i="5"/>
  <c r="AL102" i="5"/>
  <c r="AM102" i="5"/>
  <c r="AP102" i="5"/>
  <c r="A102" i="5"/>
  <c r="AL101" i="5"/>
  <c r="AM101" i="5"/>
  <c r="E7" i="1"/>
  <c r="F7" i="1"/>
  <c r="G7" i="1"/>
  <c r="AP101" i="5"/>
  <c r="AL100" i="5"/>
  <c r="AM100" i="5"/>
  <c r="AP100" i="5"/>
  <c r="AL99" i="5"/>
  <c r="AM99" i="5"/>
  <c r="AP99" i="5"/>
  <c r="C96" i="5"/>
  <c r="C97" i="5"/>
  <c r="C98" i="5"/>
  <c r="C99" i="5"/>
  <c r="AL98" i="5"/>
  <c r="AM98" i="5"/>
  <c r="AP98" i="5"/>
  <c r="AL97" i="5"/>
  <c r="AM97" i="5"/>
  <c r="AP97" i="5"/>
  <c r="AL96" i="5"/>
  <c r="AM96" i="5"/>
  <c r="AP96" i="5"/>
  <c r="AL95" i="5"/>
  <c r="AM95" i="5"/>
  <c r="AP95" i="5"/>
  <c r="A95" i="5"/>
  <c r="AL94" i="5"/>
  <c r="AM94" i="5"/>
  <c r="E6" i="1"/>
  <c r="F6" i="1"/>
  <c r="G6" i="1"/>
  <c r="AP94" i="5"/>
  <c r="AL93" i="5"/>
  <c r="AM93" i="5"/>
  <c r="AP93" i="5"/>
  <c r="AL92" i="5"/>
  <c r="AM92" i="5"/>
  <c r="AP92" i="5"/>
  <c r="C89" i="5"/>
  <c r="C90" i="5"/>
  <c r="C91" i="5"/>
  <c r="C92" i="5"/>
  <c r="AL91" i="5"/>
  <c r="AM91" i="5"/>
  <c r="AP91" i="5"/>
  <c r="AL90" i="5"/>
  <c r="AM90" i="5"/>
  <c r="AP90" i="5"/>
  <c r="AL89" i="5"/>
  <c r="AM89" i="5"/>
  <c r="AP89" i="5"/>
  <c r="AL88" i="5"/>
  <c r="AM88" i="5"/>
  <c r="AP88" i="5"/>
  <c r="A88" i="5"/>
  <c r="AL87" i="5"/>
  <c r="AM87" i="5"/>
  <c r="E5" i="1"/>
  <c r="F5" i="1"/>
  <c r="G5" i="1"/>
  <c r="AP87" i="5"/>
  <c r="AL86" i="5"/>
  <c r="AM86" i="5"/>
  <c r="AP86" i="5"/>
  <c r="AL85" i="5"/>
  <c r="AM85" i="5"/>
  <c r="AP85" i="5"/>
  <c r="C82" i="5"/>
  <c r="C83" i="5"/>
  <c r="C84" i="5"/>
  <c r="C85" i="5"/>
  <c r="AL84" i="5"/>
  <c r="AM84" i="5"/>
  <c r="AP84" i="5"/>
  <c r="AL83" i="5"/>
  <c r="AM83" i="5"/>
  <c r="AP83" i="5"/>
  <c r="AL82" i="5"/>
  <c r="AM82" i="5"/>
  <c r="AP82" i="5"/>
  <c r="AL81" i="5"/>
  <c r="AM81" i="5"/>
  <c r="AP81" i="5"/>
  <c r="AL80" i="5"/>
  <c r="AM80" i="5"/>
  <c r="AN80" i="5"/>
  <c r="AP80" i="5"/>
  <c r="AO80" i="5"/>
  <c r="AL79" i="5"/>
  <c r="AM79" i="5"/>
  <c r="AN79" i="5"/>
  <c r="AP79" i="5"/>
  <c r="AO79" i="5"/>
  <c r="AL78" i="5"/>
  <c r="AM78" i="5"/>
  <c r="AN78" i="5"/>
  <c r="AP78" i="5"/>
  <c r="AO78" i="5"/>
  <c r="C75" i="5"/>
  <c r="C76" i="5"/>
  <c r="C77" i="5"/>
  <c r="C78" i="5"/>
  <c r="AL77" i="5"/>
  <c r="AM77" i="5"/>
  <c r="AN77" i="5"/>
  <c r="AP77" i="5"/>
  <c r="AO77" i="5"/>
  <c r="AL76" i="5"/>
  <c r="AM76" i="5"/>
  <c r="AN76" i="5"/>
  <c r="AP76" i="5"/>
  <c r="AO76" i="5"/>
  <c r="AN75" i="5"/>
  <c r="AP75" i="5"/>
  <c r="AO75" i="5"/>
  <c r="AL75" i="5"/>
  <c r="AM75" i="5"/>
  <c r="AL74" i="5"/>
  <c r="AM74" i="5"/>
  <c r="AN74" i="5"/>
  <c r="AP74" i="5"/>
  <c r="AO74" i="5"/>
  <c r="A74" i="5"/>
  <c r="Y73" i="5"/>
  <c r="D73" i="5"/>
  <c r="AL73" i="5"/>
  <c r="AM73" i="5"/>
  <c r="E73" i="5"/>
  <c r="Y72" i="5"/>
  <c r="D72" i="5"/>
  <c r="AL72" i="5"/>
  <c r="AM72" i="5"/>
  <c r="E72" i="5"/>
  <c r="Y71" i="5"/>
  <c r="D71" i="5"/>
  <c r="AL71" i="5"/>
  <c r="AM71" i="5"/>
  <c r="E71" i="5"/>
  <c r="C68" i="5"/>
  <c r="C69" i="5"/>
  <c r="C70" i="5"/>
  <c r="C71" i="5"/>
  <c r="Y70" i="5"/>
  <c r="D70" i="5"/>
  <c r="AL70" i="5"/>
  <c r="AM70" i="5"/>
  <c r="E70" i="5"/>
  <c r="Y69" i="5"/>
  <c r="D69" i="5"/>
  <c r="AL69" i="5"/>
  <c r="AM69" i="5"/>
  <c r="E69" i="5"/>
  <c r="Y68" i="5"/>
  <c r="D68" i="5"/>
  <c r="AL68" i="5"/>
  <c r="AM68" i="5"/>
  <c r="E68" i="5"/>
  <c r="Y67" i="5"/>
  <c r="D67" i="5"/>
  <c r="AL67" i="5"/>
  <c r="AM67" i="5"/>
  <c r="E67" i="5"/>
  <c r="AL66" i="5"/>
  <c r="AM66" i="5"/>
  <c r="AN66" i="5"/>
  <c r="E4" i="1"/>
  <c r="F4" i="1"/>
  <c r="G4" i="1"/>
  <c r="AP66" i="5"/>
  <c r="AO66" i="5"/>
  <c r="AL65" i="5"/>
  <c r="AM65" i="5"/>
  <c r="AN65" i="5"/>
  <c r="AP65" i="5"/>
  <c r="AO65" i="5"/>
  <c r="AL64" i="5"/>
  <c r="AM64" i="5"/>
  <c r="AN64" i="5"/>
  <c r="AP64" i="5"/>
  <c r="AO64" i="5"/>
  <c r="C61" i="5"/>
  <c r="C62" i="5"/>
  <c r="C63" i="5"/>
  <c r="C64" i="5"/>
  <c r="AL63" i="5"/>
  <c r="AM63" i="5"/>
  <c r="AN63" i="5"/>
  <c r="AP63" i="5"/>
  <c r="AO63" i="5"/>
  <c r="AL62" i="5"/>
  <c r="AM62" i="5"/>
  <c r="AN62" i="5"/>
  <c r="AP62" i="5"/>
  <c r="AO62" i="5"/>
  <c r="AL61" i="5"/>
  <c r="AM61" i="5"/>
  <c r="AN61" i="5"/>
  <c r="AP61" i="5"/>
  <c r="AO61" i="5"/>
  <c r="AL60" i="5"/>
  <c r="AM60" i="5"/>
  <c r="AN60" i="5"/>
  <c r="AP60" i="5"/>
  <c r="AO60" i="5"/>
  <c r="A60" i="5"/>
  <c r="AL59" i="5"/>
  <c r="AM59" i="5"/>
  <c r="E3" i="1"/>
  <c r="F3" i="1"/>
  <c r="G3" i="1"/>
  <c r="AP59" i="5"/>
  <c r="AL58" i="5"/>
  <c r="AM58" i="5"/>
  <c r="AP58" i="5"/>
  <c r="AL57" i="5"/>
  <c r="AM57" i="5"/>
  <c r="AP57" i="5"/>
  <c r="C54" i="5"/>
  <c r="C55" i="5"/>
  <c r="C56" i="5"/>
  <c r="C57" i="5"/>
  <c r="AL56" i="5"/>
  <c r="AM56" i="5"/>
  <c r="AP56" i="5"/>
  <c r="AL55" i="5"/>
  <c r="AM55" i="5"/>
  <c r="AP55" i="5"/>
  <c r="AL54" i="5"/>
  <c r="AM54" i="5"/>
  <c r="AP54" i="5"/>
  <c r="AL53" i="5"/>
  <c r="AM53" i="5"/>
  <c r="AP53" i="5"/>
  <c r="A53" i="5"/>
  <c r="AL51" i="5"/>
  <c r="AM51" i="5"/>
  <c r="AL50" i="5"/>
  <c r="AM50" i="5"/>
  <c r="AL49" i="5"/>
  <c r="AM49" i="5"/>
  <c r="C46" i="5"/>
  <c r="C47" i="5"/>
  <c r="C48" i="5"/>
  <c r="C49" i="5"/>
  <c r="AL48" i="5"/>
  <c r="AM48" i="5"/>
  <c r="AL47" i="5"/>
  <c r="AM47" i="5"/>
  <c r="AL46" i="5"/>
  <c r="AM46" i="5"/>
  <c r="AL45" i="5"/>
  <c r="AM45" i="5"/>
  <c r="AL44" i="5"/>
  <c r="AM44" i="5"/>
  <c r="AL43" i="5"/>
  <c r="AM43" i="5"/>
  <c r="AL42" i="5"/>
  <c r="AM42" i="5"/>
  <c r="C39" i="5"/>
  <c r="C40" i="5"/>
  <c r="C41" i="5"/>
  <c r="C42" i="5"/>
  <c r="AL41" i="5"/>
  <c r="AM41" i="5"/>
  <c r="AL40" i="5"/>
  <c r="AM40" i="5"/>
  <c r="AL39" i="5"/>
  <c r="AM39" i="5"/>
  <c r="AL38" i="5"/>
  <c r="AM38" i="5"/>
  <c r="AL37" i="5"/>
  <c r="AM37" i="5"/>
  <c r="AO37" i="5"/>
  <c r="AN37" i="5"/>
  <c r="AL36" i="5"/>
  <c r="AM36" i="5"/>
  <c r="AO36" i="5"/>
  <c r="AN36" i="5"/>
  <c r="AL35" i="5"/>
  <c r="AM35" i="5"/>
  <c r="AO35" i="5"/>
  <c r="AN35" i="5"/>
  <c r="C32" i="5"/>
  <c r="C33" i="5"/>
  <c r="C34" i="5"/>
  <c r="C35" i="5"/>
  <c r="AL34" i="5"/>
  <c r="AM34" i="5"/>
  <c r="AO34" i="5"/>
  <c r="AN34" i="5"/>
  <c r="AL33" i="5"/>
  <c r="AM33" i="5"/>
  <c r="AO33" i="5"/>
  <c r="AN33" i="5"/>
  <c r="AL32" i="5"/>
  <c r="AM32" i="5"/>
  <c r="AO32" i="5"/>
  <c r="AN32" i="5"/>
  <c r="AL31" i="5"/>
  <c r="AM31" i="5"/>
  <c r="AO31" i="5"/>
  <c r="AN31" i="5"/>
  <c r="A31" i="5"/>
  <c r="AL30" i="5"/>
  <c r="AM30" i="5"/>
  <c r="M30" i="5"/>
  <c r="AL29" i="5"/>
  <c r="AM29" i="5"/>
  <c r="M29" i="5"/>
  <c r="AL28" i="5"/>
  <c r="AM28" i="5"/>
  <c r="M28" i="5"/>
  <c r="C25" i="5"/>
  <c r="C26" i="5"/>
  <c r="C27" i="5"/>
  <c r="C28" i="5"/>
  <c r="AL27" i="5"/>
  <c r="AM27" i="5"/>
  <c r="M27" i="5"/>
  <c r="AL26" i="5"/>
  <c r="AM26" i="5"/>
  <c r="M26" i="5"/>
  <c r="AL25" i="5"/>
  <c r="AM25" i="5"/>
  <c r="M25" i="5"/>
  <c r="AL24" i="5"/>
  <c r="AM24" i="5"/>
  <c r="M24" i="5"/>
  <c r="AL23" i="5"/>
  <c r="AM23" i="5"/>
  <c r="AO23" i="5"/>
  <c r="AN23" i="5"/>
  <c r="AL22" i="5"/>
  <c r="AM22" i="5"/>
  <c r="AO22" i="5"/>
  <c r="AN22" i="5"/>
  <c r="AL21" i="5"/>
  <c r="AM21" i="5"/>
  <c r="AO21" i="5"/>
  <c r="AN21" i="5"/>
  <c r="C18" i="5"/>
  <c r="C19" i="5"/>
  <c r="C20" i="5"/>
  <c r="C21" i="5"/>
  <c r="AL20" i="5"/>
  <c r="AM20" i="5"/>
  <c r="AO20" i="5"/>
  <c r="AN20" i="5"/>
  <c r="AL19" i="5"/>
  <c r="AM19" i="5"/>
  <c r="AO19" i="5"/>
  <c r="AN19" i="5"/>
  <c r="AL18" i="5"/>
  <c r="AM18" i="5"/>
  <c r="AO18" i="5"/>
  <c r="AN18" i="5"/>
  <c r="AL17" i="5"/>
  <c r="AM17" i="5"/>
  <c r="AO17" i="5"/>
  <c r="AN17" i="5"/>
  <c r="A17" i="5"/>
  <c r="AL16" i="5"/>
  <c r="AM16" i="5"/>
  <c r="AL15" i="5"/>
  <c r="AM15" i="5"/>
  <c r="AL14" i="5"/>
  <c r="AM14" i="5"/>
  <c r="C11" i="5"/>
  <c r="C12" i="5"/>
  <c r="C13" i="5"/>
  <c r="C14" i="5"/>
  <c r="AL13" i="5"/>
  <c r="AM13" i="5"/>
  <c r="AL12" i="5"/>
  <c r="AM12" i="5"/>
  <c r="AL11" i="5"/>
  <c r="AM11" i="5"/>
  <c r="AL10" i="5"/>
  <c r="AM10" i="5"/>
  <c r="AL9" i="5"/>
  <c r="AM9" i="5"/>
  <c r="AO9" i="5"/>
  <c r="AN9" i="5"/>
  <c r="AL8" i="5"/>
  <c r="AM8" i="5"/>
  <c r="AO8" i="5"/>
  <c r="AN8" i="5"/>
  <c r="AL7" i="5"/>
  <c r="AM7" i="5"/>
  <c r="AO7" i="5"/>
  <c r="AN7" i="5"/>
  <c r="C4" i="5"/>
  <c r="C5" i="5"/>
  <c r="C6" i="5"/>
  <c r="C7" i="5"/>
  <c r="AL6" i="5"/>
  <c r="AM6" i="5"/>
  <c r="AO6" i="5"/>
  <c r="AN6" i="5"/>
  <c r="AL5" i="5"/>
  <c r="AM5" i="5"/>
  <c r="AO5" i="5"/>
  <c r="AN5" i="5"/>
  <c r="AL4" i="5"/>
  <c r="AM4" i="5"/>
  <c r="AO4" i="5"/>
  <c r="AN4" i="5"/>
  <c r="AL3" i="5"/>
  <c r="AM3" i="5"/>
  <c r="AO3" i="5"/>
  <c r="AN3" i="5"/>
  <c r="A3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C225" i="4"/>
  <c r="C224" i="4"/>
  <c r="C223" i="4"/>
  <c r="B220" i="4"/>
  <c r="B221" i="4"/>
  <c r="B222" i="4"/>
  <c r="B223" i="4"/>
  <c r="C222" i="4"/>
  <c r="C221" i="4"/>
  <c r="C220" i="4"/>
  <c r="C219" i="4"/>
  <c r="C218" i="4"/>
  <c r="C217" i="4"/>
  <c r="C216" i="4"/>
  <c r="B213" i="4"/>
  <c r="B214" i="4"/>
  <c r="B215" i="4"/>
  <c r="B216" i="4"/>
  <c r="C215" i="4"/>
  <c r="C214" i="4"/>
  <c r="C213" i="4"/>
  <c r="C212" i="4"/>
  <c r="C211" i="4"/>
  <c r="C210" i="4"/>
  <c r="C209" i="4"/>
  <c r="B206" i="4"/>
  <c r="B207" i="4"/>
  <c r="B208" i="4"/>
  <c r="B209" i="4"/>
  <c r="C208" i="4"/>
  <c r="C207" i="4"/>
  <c r="C206" i="4"/>
  <c r="C205" i="4"/>
  <c r="C204" i="4"/>
  <c r="C203" i="4"/>
  <c r="C202" i="4"/>
  <c r="B199" i="4"/>
  <c r="B200" i="4"/>
  <c r="B201" i="4"/>
  <c r="B202" i="4"/>
  <c r="C201" i="4"/>
  <c r="C200" i="4"/>
  <c r="C199" i="4"/>
  <c r="C198" i="4"/>
  <c r="C197" i="4"/>
  <c r="C196" i="4"/>
  <c r="C195" i="4"/>
  <c r="B192" i="4"/>
  <c r="B193" i="4"/>
  <c r="B194" i="4"/>
  <c r="B195" i="4"/>
  <c r="C194" i="4"/>
  <c r="C193" i="4"/>
  <c r="C192" i="4"/>
  <c r="C191" i="4"/>
  <c r="G190" i="4"/>
  <c r="C190" i="4"/>
  <c r="G189" i="4"/>
  <c r="C189" i="4"/>
  <c r="G188" i="4"/>
  <c r="C188" i="4"/>
  <c r="B185" i="4"/>
  <c r="B186" i="4"/>
  <c r="B187" i="4"/>
  <c r="B188" i="4"/>
  <c r="G187" i="4"/>
  <c r="C187" i="4"/>
  <c r="G186" i="4"/>
  <c r="C186" i="4"/>
  <c r="G185" i="4"/>
  <c r="C185" i="4"/>
  <c r="G184" i="4"/>
  <c r="C184" i="4"/>
  <c r="C183" i="4"/>
  <c r="C182" i="4"/>
  <c r="C181" i="4"/>
  <c r="B178" i="4"/>
  <c r="B179" i="4"/>
  <c r="B180" i="4"/>
  <c r="B181" i="4"/>
  <c r="C180" i="4"/>
  <c r="C179" i="4"/>
  <c r="C178" i="4"/>
  <c r="C177" i="4"/>
  <c r="C176" i="4"/>
  <c r="C175" i="4"/>
  <c r="C174" i="4"/>
  <c r="B171" i="4"/>
  <c r="B172" i="4"/>
  <c r="B173" i="4"/>
  <c r="B174" i="4"/>
  <c r="C173" i="4"/>
  <c r="C172" i="4"/>
  <c r="C171" i="4"/>
  <c r="C170" i="4"/>
  <c r="C169" i="4"/>
  <c r="C168" i="4"/>
  <c r="C167" i="4"/>
  <c r="B164" i="4"/>
  <c r="B165" i="4"/>
  <c r="B166" i="4"/>
  <c r="B167" i="4"/>
  <c r="C166" i="4"/>
  <c r="C165" i="4"/>
  <c r="C164" i="4"/>
  <c r="C163" i="4"/>
  <c r="C162" i="4"/>
  <c r="C161" i="4"/>
  <c r="C160" i="4"/>
  <c r="B157" i="4"/>
  <c r="B158" i="4"/>
  <c r="B159" i="4"/>
  <c r="B160" i="4"/>
  <c r="C159" i="4"/>
  <c r="C158" i="4"/>
  <c r="C157" i="4"/>
  <c r="C156" i="4"/>
  <c r="C155" i="4"/>
  <c r="C154" i="4"/>
  <c r="C153" i="4"/>
  <c r="B150" i="4"/>
  <c r="B151" i="4"/>
  <c r="B152" i="4"/>
  <c r="B153" i="4"/>
  <c r="C152" i="4"/>
  <c r="C151" i="4"/>
  <c r="C150" i="4"/>
  <c r="C149" i="4"/>
  <c r="C148" i="4"/>
  <c r="C147" i="4"/>
  <c r="C146" i="4"/>
  <c r="B143" i="4"/>
  <c r="B144" i="4"/>
  <c r="B145" i="4"/>
  <c r="B146" i="4"/>
  <c r="C145" i="4"/>
  <c r="C144" i="4"/>
  <c r="C143" i="4"/>
  <c r="C142" i="4"/>
  <c r="C141" i="4"/>
  <c r="C140" i="4"/>
  <c r="C139" i="4"/>
  <c r="B136" i="4"/>
  <c r="B137" i="4"/>
  <c r="B138" i="4"/>
  <c r="B139" i="4"/>
  <c r="C138" i="4"/>
  <c r="C137" i="4"/>
  <c r="C136" i="4"/>
  <c r="C135" i="4"/>
  <c r="C134" i="4"/>
  <c r="C133" i="4"/>
  <c r="C132" i="4"/>
  <c r="B129" i="4"/>
  <c r="B130" i="4"/>
  <c r="B131" i="4"/>
  <c r="B132" i="4"/>
  <c r="C131" i="4"/>
  <c r="C130" i="4"/>
  <c r="C129" i="4"/>
  <c r="C128" i="4"/>
  <c r="C127" i="4"/>
  <c r="C126" i="4"/>
  <c r="C125" i="4"/>
  <c r="B122" i="4"/>
  <c r="B123" i="4"/>
  <c r="B124" i="4"/>
  <c r="B125" i="4"/>
  <c r="C124" i="4"/>
  <c r="C123" i="4"/>
  <c r="C122" i="4"/>
  <c r="C121" i="4"/>
  <c r="C120" i="4"/>
  <c r="C119" i="4"/>
  <c r="C118" i="4"/>
  <c r="B115" i="4"/>
  <c r="B116" i="4"/>
  <c r="B117" i="4"/>
  <c r="B118" i="4"/>
  <c r="C117" i="4"/>
  <c r="C116" i="4"/>
  <c r="C115" i="4"/>
  <c r="C114" i="4"/>
  <c r="C113" i="4"/>
  <c r="C112" i="4"/>
  <c r="C111" i="4"/>
  <c r="B108" i="4"/>
  <c r="B109" i="4"/>
  <c r="B110" i="4"/>
  <c r="B111" i="4"/>
  <c r="C110" i="4"/>
  <c r="C109" i="4"/>
  <c r="C108" i="4"/>
  <c r="C107" i="4"/>
  <c r="C106" i="4"/>
  <c r="C105" i="4"/>
  <c r="C104" i="4"/>
  <c r="B101" i="4"/>
  <c r="B102" i="4"/>
  <c r="B103" i="4"/>
  <c r="B104" i="4"/>
  <c r="C103" i="4"/>
  <c r="C102" i="4"/>
  <c r="C101" i="4"/>
  <c r="C100" i="4"/>
  <c r="C99" i="4"/>
  <c r="C98" i="4"/>
  <c r="C97" i="4"/>
  <c r="B94" i="4"/>
  <c r="B95" i="4"/>
  <c r="B96" i="4"/>
  <c r="B97" i="4"/>
  <c r="C96" i="4"/>
  <c r="C95" i="4"/>
  <c r="C94" i="4"/>
  <c r="C93" i="4"/>
  <c r="C92" i="4"/>
  <c r="C91" i="4"/>
  <c r="C90" i="4"/>
  <c r="B87" i="4"/>
  <c r="B88" i="4"/>
  <c r="B89" i="4"/>
  <c r="B90" i="4"/>
  <c r="C89" i="4"/>
  <c r="C88" i="4"/>
  <c r="C87" i="4"/>
  <c r="C86" i="4"/>
  <c r="C85" i="4"/>
  <c r="C84" i="4"/>
  <c r="C83" i="4"/>
  <c r="B80" i="4"/>
  <c r="B81" i="4"/>
  <c r="B82" i="4"/>
  <c r="B83" i="4"/>
  <c r="C82" i="4"/>
  <c r="C81" i="4"/>
  <c r="C80" i="4"/>
  <c r="C79" i="4"/>
  <c r="C78" i="4"/>
  <c r="C77" i="4"/>
  <c r="C76" i="4"/>
  <c r="B73" i="4"/>
  <c r="B74" i="4"/>
  <c r="B75" i="4"/>
  <c r="B76" i="4"/>
  <c r="C75" i="4"/>
  <c r="C74" i="4"/>
  <c r="C73" i="4"/>
  <c r="C72" i="4"/>
  <c r="C71" i="4"/>
  <c r="C70" i="4"/>
  <c r="C69" i="4"/>
  <c r="B66" i="4"/>
  <c r="B67" i="4"/>
  <c r="B68" i="4"/>
  <c r="B69" i="4"/>
  <c r="C68" i="4"/>
  <c r="C67" i="4"/>
  <c r="C66" i="4"/>
  <c r="C65" i="4"/>
  <c r="C64" i="4"/>
  <c r="C63" i="4"/>
  <c r="C62" i="4"/>
  <c r="B59" i="4"/>
  <c r="B60" i="4"/>
  <c r="B61" i="4"/>
  <c r="B62" i="4"/>
  <c r="C61" i="4"/>
  <c r="C60" i="4"/>
  <c r="C59" i="4"/>
  <c r="C58" i="4"/>
  <c r="C57" i="4"/>
  <c r="C56" i="4"/>
  <c r="C55" i="4"/>
  <c r="B52" i="4"/>
  <c r="B53" i="4"/>
  <c r="B54" i="4"/>
  <c r="B55" i="4"/>
  <c r="C54" i="4"/>
  <c r="C53" i="4"/>
  <c r="C52" i="4"/>
  <c r="C51" i="4"/>
  <c r="C50" i="4"/>
  <c r="C49" i="4"/>
  <c r="C48" i="4"/>
  <c r="B45" i="4"/>
  <c r="B46" i="4"/>
  <c r="B47" i="4"/>
  <c r="B48" i="4"/>
  <c r="C47" i="4"/>
  <c r="C46" i="4"/>
  <c r="C45" i="4"/>
  <c r="C44" i="4"/>
  <c r="C43" i="4"/>
  <c r="C42" i="4"/>
  <c r="C41" i="4"/>
  <c r="B38" i="4"/>
  <c r="B39" i="4"/>
  <c r="B40" i="4"/>
  <c r="B41" i="4"/>
  <c r="C40" i="4"/>
  <c r="C39" i="4"/>
  <c r="C38" i="4"/>
  <c r="C37" i="4"/>
  <c r="C36" i="4"/>
  <c r="C35" i="4"/>
  <c r="C34" i="4"/>
  <c r="B31" i="4"/>
  <c r="B32" i="4"/>
  <c r="B33" i="4"/>
  <c r="B34" i="4"/>
  <c r="C33" i="4"/>
  <c r="C32" i="4"/>
  <c r="C31" i="4"/>
  <c r="C30" i="4"/>
  <c r="C29" i="4"/>
  <c r="C28" i="4"/>
  <c r="C27" i="4"/>
  <c r="B24" i="4"/>
  <c r="B25" i="4"/>
  <c r="B26" i="4"/>
  <c r="B27" i="4"/>
  <c r="C26" i="4"/>
  <c r="C25" i="4"/>
  <c r="C24" i="4"/>
  <c r="C23" i="4"/>
  <c r="C22" i="4"/>
  <c r="C21" i="4"/>
  <c r="C20" i="4"/>
  <c r="B17" i="4"/>
  <c r="B18" i="4"/>
  <c r="B19" i="4"/>
  <c r="B20" i="4"/>
  <c r="C19" i="4"/>
  <c r="C18" i="4"/>
  <c r="C17" i="4"/>
  <c r="C16" i="4"/>
  <c r="C15" i="4"/>
  <c r="C14" i="4"/>
  <c r="C13" i="4"/>
  <c r="B10" i="4"/>
  <c r="B11" i="4"/>
  <c r="B12" i="4"/>
  <c r="B13" i="4"/>
  <c r="C12" i="4"/>
  <c r="C11" i="4"/>
  <c r="C10" i="4"/>
  <c r="C9" i="4"/>
  <c r="C8" i="4"/>
  <c r="C7" i="4"/>
  <c r="C6" i="4"/>
  <c r="B3" i="4"/>
  <c r="B4" i="4"/>
  <c r="B5" i="4"/>
  <c r="B6" i="4"/>
  <c r="C5" i="4"/>
  <c r="C4" i="4"/>
  <c r="C3" i="4"/>
  <c r="C2" i="4"/>
  <c r="C14" i="3"/>
  <c r="B14" i="3"/>
  <c r="A14" i="3"/>
  <c r="C13" i="3"/>
  <c r="B13" i="3"/>
  <c r="A13" i="3"/>
  <c r="C12" i="3"/>
  <c r="B12" i="3"/>
  <c r="A12" i="3"/>
  <c r="C11" i="3"/>
  <c r="A11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B1" i="3"/>
  <c r="A1" i="3"/>
  <c r="A9" i="2"/>
  <c r="A8" i="2"/>
  <c r="A7" i="2"/>
  <c r="A6" i="2"/>
  <c r="A5" i="2"/>
  <c r="A4" i="2"/>
  <c r="A3" i="2"/>
  <c r="A2" i="2"/>
  <c r="A1" i="2"/>
  <c r="H9" i="1"/>
  <c r="H8" i="1"/>
  <c r="E8" i="1"/>
  <c r="F8" i="1"/>
  <c r="G8" i="1"/>
  <c r="H7" i="1"/>
  <c r="H6" i="1"/>
  <c r="H5" i="1"/>
  <c r="H4" i="1"/>
  <c r="H3" i="1"/>
  <c r="H2" i="1"/>
  <c r="E2" i="1"/>
  <c r="F2" i="1"/>
  <c r="G2" i="1"/>
  <c r="AN53" i="6" a="1"/>
  <c r="AN54" i="6"/>
  <c r="AN55" i="6"/>
  <c r="AN56" i="6"/>
  <c r="AN57" i="6"/>
  <c r="AN58" i="6"/>
  <c r="AN59" i="6"/>
  <c r="AN53" i="6"/>
  <c r="AP53" i="6" a="1"/>
  <c r="AP53" i="6"/>
  <c r="AQ53" i="6"/>
  <c r="AS53" i="6"/>
  <c r="AO53" i="6" a="1"/>
  <c r="AO53" i="6"/>
  <c r="AR53" i="6"/>
  <c r="AT53" i="6"/>
  <c r="AU53" i="6"/>
  <c r="AP54" i="6"/>
  <c r="AQ54" i="6"/>
  <c r="AS54" i="6"/>
  <c r="AO54" i="6"/>
  <c r="AR54" i="6"/>
  <c r="AT54" i="6"/>
  <c r="AU54" i="6"/>
  <c r="AP55" i="6"/>
  <c r="AQ55" i="6"/>
  <c r="AS55" i="6"/>
  <c r="AO55" i="6"/>
  <c r="AR55" i="6"/>
  <c r="AT55" i="6"/>
  <c r="AU55" i="6"/>
  <c r="AP56" i="6"/>
  <c r="AQ56" i="6"/>
  <c r="AS56" i="6"/>
  <c r="AO56" i="6"/>
  <c r="AR56" i="6"/>
  <c r="AT56" i="6"/>
  <c r="AU56" i="6"/>
  <c r="AP57" i="6"/>
  <c r="AQ57" i="6"/>
  <c r="AS57" i="6"/>
  <c r="AO57" i="6"/>
  <c r="AR57" i="6"/>
  <c r="AT57" i="6"/>
  <c r="AU57" i="6"/>
  <c r="AP58" i="6"/>
  <c r="AQ58" i="6"/>
  <c r="AS58" i="6"/>
  <c r="AO58" i="6"/>
  <c r="AR58" i="6"/>
  <c r="AT58" i="6"/>
  <c r="AU58" i="6"/>
  <c r="AP59" i="6"/>
  <c r="AQ59" i="6"/>
  <c r="AS59" i="6"/>
  <c r="AO59" i="6"/>
  <c r="AR59" i="6"/>
  <c r="AT59" i="6"/>
  <c r="AU59" i="6"/>
  <c r="AN60" i="6" a="1"/>
  <c r="AN61" i="6"/>
  <c r="AN62" i="6"/>
  <c r="AN63" i="6"/>
  <c r="AN64" i="6"/>
  <c r="AN65" i="6"/>
  <c r="AN66" i="6"/>
  <c r="AN60" i="6"/>
  <c r="AP60" i="6" a="1"/>
  <c r="AP60" i="6"/>
  <c r="AQ60" i="6"/>
  <c r="AS60" i="6"/>
  <c r="AO60" i="6" a="1"/>
  <c r="AO60" i="6"/>
  <c r="AR60" i="6"/>
  <c r="AT60" i="6"/>
  <c r="AU60" i="6"/>
  <c r="AP61" i="6"/>
  <c r="AQ61" i="6"/>
  <c r="AS61" i="6"/>
  <c r="AO61" i="6"/>
  <c r="AR61" i="6"/>
  <c r="AT61" i="6"/>
  <c r="AU61" i="6"/>
  <c r="AP62" i="6"/>
  <c r="AQ62" i="6"/>
  <c r="AS62" i="6"/>
  <c r="AO62" i="6"/>
  <c r="AR62" i="6"/>
  <c r="AT62" i="6"/>
  <c r="AU62" i="6"/>
  <c r="AP63" i="6"/>
  <c r="AQ63" i="6"/>
  <c r="AS63" i="6"/>
  <c r="AO63" i="6"/>
  <c r="AR63" i="6"/>
  <c r="AT63" i="6"/>
  <c r="AU63" i="6"/>
  <c r="AP64" i="6"/>
  <c r="AQ64" i="6"/>
  <c r="AS64" i="6"/>
  <c r="AO64" i="6"/>
  <c r="AR64" i="6"/>
  <c r="AT64" i="6"/>
  <c r="AU64" i="6"/>
  <c r="AP65" i="6"/>
  <c r="AQ65" i="6"/>
  <c r="AS65" i="6"/>
  <c r="AO65" i="6"/>
  <c r="AR65" i="6"/>
  <c r="AT65" i="6"/>
  <c r="AU65" i="6"/>
  <c r="AP66" i="6"/>
  <c r="AQ66" i="6"/>
  <c r="AS66" i="6"/>
  <c r="AO66" i="6"/>
  <c r="AR66" i="6"/>
  <c r="AT66" i="6"/>
  <c r="AU66" i="6"/>
  <c r="AN67" i="6" a="1"/>
  <c r="AN68" i="6"/>
  <c r="AN69" i="6"/>
  <c r="AN70" i="6"/>
  <c r="AN71" i="6"/>
  <c r="AN72" i="6"/>
  <c r="AN73" i="6"/>
  <c r="AN67" i="6"/>
  <c r="AO67" i="6" a="1"/>
  <c r="AO68" i="6"/>
  <c r="AO69" i="6"/>
  <c r="AO70" i="6"/>
  <c r="AO71" i="6"/>
  <c r="AO72" i="6"/>
  <c r="AO73" i="6"/>
  <c r="AO67" i="6"/>
  <c r="AP67" i="6" a="1"/>
  <c r="AP67" i="6"/>
  <c r="AQ67" i="6"/>
  <c r="AP68" i="6"/>
  <c r="AQ68" i="6"/>
  <c r="AP69" i="6"/>
  <c r="AQ69" i="6"/>
  <c r="AP70" i="6"/>
  <c r="AQ70" i="6"/>
  <c r="AP71" i="6"/>
  <c r="AQ71" i="6"/>
  <c r="AP72" i="6"/>
  <c r="AQ72" i="6"/>
  <c r="AP73" i="6"/>
  <c r="AQ73" i="6"/>
  <c r="AN74" i="6" a="1"/>
  <c r="AN75" i="6"/>
  <c r="AN76" i="6"/>
  <c r="AN77" i="6"/>
  <c r="AN78" i="6"/>
  <c r="AN79" i="6"/>
  <c r="AN80" i="6"/>
  <c r="AN74" i="6"/>
  <c r="AO74" i="6" a="1"/>
  <c r="AO75" i="6"/>
  <c r="AO76" i="6"/>
  <c r="AO77" i="6"/>
  <c r="AO78" i="6"/>
  <c r="AO79" i="6"/>
  <c r="AO80" i="6"/>
  <c r="AO74" i="6"/>
  <c r="AN81" i="6" a="1"/>
  <c r="AN82" i="6"/>
  <c r="AN83" i="6"/>
  <c r="AN84" i="6"/>
  <c r="AN85" i="6"/>
  <c r="AN86" i="6"/>
  <c r="AN87" i="6"/>
  <c r="AN81" i="6"/>
  <c r="AP81" i="6" a="1"/>
  <c r="AP81" i="6"/>
  <c r="AQ81" i="6"/>
  <c r="AS81" i="6"/>
  <c r="AO81" i="6" a="1"/>
  <c r="AO81" i="6"/>
  <c r="AR81" i="6"/>
  <c r="AT81" i="6"/>
  <c r="AU81" i="6"/>
  <c r="AP82" i="6"/>
  <c r="AQ82" i="6"/>
  <c r="AS82" i="6"/>
  <c r="AO82" i="6"/>
  <c r="AR82" i="6"/>
  <c r="AT82" i="6"/>
  <c r="AU82" i="6"/>
  <c r="AP83" i="6"/>
  <c r="AQ83" i="6"/>
  <c r="AS83" i="6"/>
  <c r="AO83" i="6"/>
  <c r="AR83" i="6"/>
  <c r="AT83" i="6"/>
  <c r="AU83" i="6"/>
  <c r="AP84" i="6"/>
  <c r="AQ84" i="6"/>
  <c r="AS84" i="6"/>
  <c r="AO84" i="6"/>
  <c r="AR84" i="6"/>
  <c r="AT84" i="6"/>
  <c r="AU84" i="6"/>
  <c r="AP85" i="6"/>
  <c r="AQ85" i="6"/>
  <c r="AS85" i="6"/>
  <c r="AO85" i="6"/>
  <c r="AR85" i="6"/>
  <c r="AT85" i="6"/>
  <c r="AU85" i="6"/>
  <c r="AP86" i="6"/>
  <c r="AQ86" i="6"/>
  <c r="AS86" i="6"/>
  <c r="AO86" i="6"/>
  <c r="AR86" i="6"/>
  <c r="AT86" i="6"/>
  <c r="AU86" i="6"/>
  <c r="AP87" i="6"/>
  <c r="AQ87" i="6"/>
  <c r="AS87" i="6"/>
  <c r="AO87" i="6"/>
  <c r="AR87" i="6"/>
  <c r="AT87" i="6"/>
  <c r="AU87" i="6"/>
  <c r="AN88" i="6" a="1"/>
  <c r="AN89" i="6"/>
  <c r="AN90" i="6"/>
  <c r="AN91" i="6"/>
  <c r="AN92" i="6"/>
  <c r="AN93" i="6"/>
  <c r="AN94" i="6"/>
  <c r="AN88" i="6"/>
  <c r="AP88" i="6" a="1"/>
  <c r="AP88" i="6"/>
  <c r="AQ88" i="6"/>
  <c r="AS88" i="6"/>
  <c r="AO88" i="6" a="1"/>
  <c r="AO88" i="6"/>
  <c r="AR88" i="6"/>
  <c r="AT88" i="6"/>
  <c r="AU88" i="6"/>
  <c r="AP89" i="6"/>
  <c r="AQ89" i="6"/>
  <c r="AS89" i="6"/>
  <c r="AO89" i="6"/>
  <c r="AR89" i="6"/>
  <c r="AT89" i="6"/>
  <c r="AU89" i="6"/>
  <c r="AP90" i="6"/>
  <c r="AQ90" i="6"/>
  <c r="AS90" i="6"/>
  <c r="AO90" i="6"/>
  <c r="AR90" i="6"/>
  <c r="AT90" i="6"/>
  <c r="AU90" i="6"/>
  <c r="AP91" i="6"/>
  <c r="AQ91" i="6"/>
  <c r="AS91" i="6"/>
  <c r="AO91" i="6"/>
  <c r="AR91" i="6"/>
  <c r="AT91" i="6"/>
  <c r="AU91" i="6"/>
  <c r="AP92" i="6"/>
  <c r="AQ92" i="6"/>
  <c r="AS92" i="6"/>
  <c r="AO92" i="6"/>
  <c r="AR92" i="6"/>
  <c r="AT92" i="6"/>
  <c r="AU92" i="6"/>
  <c r="AP93" i="6"/>
  <c r="AQ93" i="6"/>
  <c r="AS93" i="6"/>
  <c r="AO93" i="6"/>
  <c r="AR93" i="6"/>
  <c r="AT93" i="6"/>
  <c r="AU93" i="6"/>
  <c r="AP94" i="6"/>
  <c r="AQ94" i="6"/>
  <c r="AS94" i="6"/>
  <c r="AO94" i="6"/>
  <c r="AR94" i="6"/>
  <c r="AT94" i="6"/>
  <c r="AU94" i="6"/>
  <c r="AN95" i="6" a="1"/>
  <c r="AN96" i="6"/>
  <c r="AN97" i="6"/>
  <c r="AN98" i="6"/>
  <c r="AN99" i="6"/>
  <c r="AN100" i="6"/>
  <c r="AN101" i="6"/>
  <c r="AN95" i="6"/>
  <c r="AP95" i="6" a="1"/>
  <c r="AP95" i="6"/>
  <c r="AQ95" i="6"/>
  <c r="AS95" i="6"/>
  <c r="AO95" i="6" a="1"/>
  <c r="AO95" i="6"/>
  <c r="AR95" i="6"/>
  <c r="AT95" i="6"/>
  <c r="AU95" i="6"/>
  <c r="AP96" i="6"/>
  <c r="AQ96" i="6"/>
  <c r="AS96" i="6"/>
  <c r="AO96" i="6"/>
  <c r="AR96" i="6"/>
  <c r="AT96" i="6"/>
  <c r="AU96" i="6"/>
  <c r="AP97" i="6"/>
  <c r="AQ97" i="6"/>
  <c r="AS97" i="6"/>
  <c r="AO97" i="6"/>
  <c r="AR97" i="6"/>
  <c r="AT97" i="6"/>
  <c r="AU97" i="6"/>
  <c r="AP98" i="6"/>
  <c r="AQ98" i="6"/>
  <c r="AS98" i="6"/>
  <c r="AO98" i="6"/>
  <c r="AR98" i="6"/>
  <c r="AT98" i="6"/>
  <c r="AU98" i="6"/>
  <c r="AP99" i="6"/>
  <c r="AQ99" i="6"/>
  <c r="AS99" i="6"/>
  <c r="AO99" i="6"/>
  <c r="AR99" i="6"/>
  <c r="AT99" i="6"/>
  <c r="AU99" i="6"/>
  <c r="AP100" i="6"/>
  <c r="AQ100" i="6"/>
  <c r="AS100" i="6"/>
  <c r="AO100" i="6"/>
  <c r="AR100" i="6"/>
  <c r="AT100" i="6"/>
  <c r="AU100" i="6"/>
  <c r="AP101" i="6"/>
  <c r="AQ101" i="6"/>
  <c r="AS101" i="6"/>
  <c r="AO101" i="6"/>
  <c r="AR101" i="6"/>
  <c r="AT101" i="6"/>
  <c r="AU101" i="6"/>
  <c r="AN53" i="7" a="1"/>
  <c r="AN54" i="7"/>
  <c r="AN55" i="7"/>
  <c r="AN56" i="7"/>
  <c r="AN57" i="7"/>
  <c r="AN58" i="7"/>
  <c r="AN59" i="7"/>
  <c r="AN53" i="7"/>
  <c r="AP53" i="7" a="1"/>
  <c r="AP53" i="7"/>
  <c r="AQ53" i="7"/>
  <c r="AO53" i="7" a="1"/>
  <c r="AO53" i="7"/>
  <c r="AR53" i="7"/>
  <c r="AT53" i="7"/>
  <c r="AS53" i="7"/>
  <c r="AU53" i="7"/>
  <c r="AP54" i="7"/>
  <c r="AQ54" i="7"/>
  <c r="AO54" i="7"/>
  <c r="AR54" i="7"/>
  <c r="AT54" i="7"/>
  <c r="AS54" i="7"/>
  <c r="AU54" i="7"/>
  <c r="AP55" i="7"/>
  <c r="AQ55" i="7"/>
  <c r="AO55" i="7"/>
  <c r="AR55" i="7"/>
  <c r="AT55" i="7"/>
  <c r="AS55" i="7"/>
  <c r="AU55" i="7"/>
  <c r="AP56" i="7"/>
  <c r="AQ56" i="7"/>
  <c r="AO56" i="7"/>
  <c r="AR56" i="7"/>
  <c r="AT56" i="7"/>
  <c r="AS56" i="7"/>
  <c r="AU56" i="7"/>
  <c r="AP57" i="7"/>
  <c r="AQ57" i="7"/>
  <c r="AO57" i="7"/>
  <c r="AR57" i="7"/>
  <c r="AT57" i="7"/>
  <c r="AS57" i="7"/>
  <c r="AU57" i="7"/>
  <c r="AP58" i="7"/>
  <c r="AQ58" i="7"/>
  <c r="AO58" i="7"/>
  <c r="AR58" i="7"/>
  <c r="AT58" i="7"/>
  <c r="AS58" i="7"/>
  <c r="AU58" i="7"/>
  <c r="AP59" i="7"/>
  <c r="AQ59" i="7"/>
  <c r="AO59" i="7"/>
  <c r="AR59" i="7"/>
  <c r="AT59" i="7"/>
  <c r="AS59" i="7"/>
  <c r="AU59" i="7"/>
  <c r="AN60" i="7" a="1"/>
  <c r="AN61" i="7"/>
  <c r="AN62" i="7"/>
  <c r="AN63" i="7"/>
  <c r="AN64" i="7"/>
  <c r="AN65" i="7"/>
  <c r="AN66" i="7"/>
  <c r="AN60" i="7"/>
  <c r="AP60" i="7" a="1"/>
  <c r="AP60" i="7"/>
  <c r="AQ60" i="7"/>
  <c r="AO60" i="7" a="1"/>
  <c r="AO60" i="7"/>
  <c r="AR60" i="7"/>
  <c r="AT60" i="7"/>
  <c r="AS60" i="7"/>
  <c r="AU60" i="7"/>
  <c r="AP61" i="7"/>
  <c r="AQ61" i="7"/>
  <c r="AO61" i="7"/>
  <c r="AR61" i="7"/>
  <c r="AT61" i="7"/>
  <c r="AS61" i="7"/>
  <c r="AU61" i="7"/>
  <c r="AP62" i="7"/>
  <c r="AQ62" i="7"/>
  <c r="AO62" i="7"/>
  <c r="AR62" i="7"/>
  <c r="AT62" i="7"/>
  <c r="AS62" i="7"/>
  <c r="AU62" i="7"/>
  <c r="AP63" i="7"/>
  <c r="AQ63" i="7"/>
  <c r="AO63" i="7"/>
  <c r="AR63" i="7"/>
  <c r="AT63" i="7"/>
  <c r="AS63" i="7"/>
  <c r="AU63" i="7"/>
  <c r="AP64" i="7"/>
  <c r="AQ64" i="7"/>
  <c r="AO64" i="7"/>
  <c r="AR64" i="7"/>
  <c r="AT64" i="7"/>
  <c r="AS64" i="7"/>
  <c r="AU64" i="7"/>
  <c r="AP65" i="7"/>
  <c r="AQ65" i="7"/>
  <c r="AO65" i="7"/>
  <c r="AR65" i="7"/>
  <c r="AT65" i="7"/>
  <c r="AS65" i="7"/>
  <c r="AU65" i="7"/>
  <c r="AP66" i="7"/>
  <c r="AQ66" i="7"/>
  <c r="AO66" i="7"/>
  <c r="AR66" i="7"/>
  <c r="AT66" i="7"/>
  <c r="AS66" i="7"/>
  <c r="AU66" i="7"/>
  <c r="AN67" i="7" a="1"/>
  <c r="AN68" i="7"/>
  <c r="AN69" i="7"/>
  <c r="AN70" i="7"/>
  <c r="AN71" i="7"/>
  <c r="AN72" i="7"/>
  <c r="AN73" i="7"/>
  <c r="AN67" i="7"/>
  <c r="AO67" i="7" a="1"/>
  <c r="AO68" i="7"/>
  <c r="AO69" i="7"/>
  <c r="AO70" i="7"/>
  <c r="AO71" i="7"/>
  <c r="AO72" i="7"/>
  <c r="AO73" i="7"/>
  <c r="AO67" i="7"/>
  <c r="AP67" i="7" a="1"/>
  <c r="AP67" i="7"/>
  <c r="AQ67" i="7"/>
  <c r="AP68" i="7"/>
  <c r="AQ68" i="7"/>
  <c r="AP69" i="7"/>
  <c r="AQ69" i="7"/>
  <c r="AP70" i="7"/>
  <c r="AQ70" i="7"/>
  <c r="AP71" i="7"/>
  <c r="AQ71" i="7"/>
  <c r="AP72" i="7"/>
  <c r="AQ72" i="7"/>
  <c r="AP73" i="7"/>
  <c r="AQ73" i="7"/>
  <c r="AN74" i="7" a="1"/>
  <c r="AN75" i="7"/>
  <c r="AN76" i="7"/>
  <c r="AN77" i="7"/>
  <c r="AN78" i="7"/>
  <c r="AN79" i="7"/>
  <c r="AN80" i="7"/>
  <c r="AN74" i="7"/>
  <c r="AO74" i="7" a="1"/>
  <c r="AO75" i="7"/>
  <c r="AO76" i="7"/>
  <c r="AO77" i="7"/>
  <c r="AO78" i="7"/>
  <c r="AO79" i="7"/>
  <c r="AO80" i="7"/>
  <c r="AO74" i="7"/>
  <c r="AN81" i="7" a="1"/>
  <c r="AN82" i="7"/>
  <c r="AN83" i="7"/>
  <c r="AN84" i="7"/>
  <c r="AN85" i="7"/>
  <c r="AN86" i="7"/>
  <c r="AN87" i="7"/>
  <c r="AN81" i="7"/>
  <c r="AP81" i="7" a="1"/>
  <c r="AP81" i="7"/>
  <c r="AQ81" i="7"/>
  <c r="AO81" i="7" a="1"/>
  <c r="AO81" i="7"/>
  <c r="AR81" i="7"/>
  <c r="AT81" i="7"/>
  <c r="AS81" i="7"/>
  <c r="AU81" i="7"/>
  <c r="AP82" i="7"/>
  <c r="AQ82" i="7"/>
  <c r="AO82" i="7"/>
  <c r="AR82" i="7"/>
  <c r="AT82" i="7"/>
  <c r="AS82" i="7"/>
  <c r="AU82" i="7"/>
  <c r="AP83" i="7"/>
  <c r="AQ83" i="7"/>
  <c r="AO83" i="7"/>
  <c r="AR83" i="7"/>
  <c r="AT83" i="7"/>
  <c r="AS83" i="7"/>
  <c r="AU83" i="7"/>
  <c r="AP84" i="7"/>
  <c r="AQ84" i="7"/>
  <c r="AO84" i="7"/>
  <c r="AR84" i="7"/>
  <c r="AT84" i="7"/>
  <c r="AS84" i="7"/>
  <c r="AU84" i="7"/>
  <c r="AP85" i="7"/>
  <c r="AQ85" i="7"/>
  <c r="AO85" i="7"/>
  <c r="AR85" i="7"/>
  <c r="AT85" i="7"/>
  <c r="AS85" i="7"/>
  <c r="AU85" i="7"/>
  <c r="AP86" i="7"/>
  <c r="AQ86" i="7"/>
  <c r="AO86" i="7"/>
  <c r="AR86" i="7"/>
  <c r="AT86" i="7"/>
  <c r="AS86" i="7"/>
  <c r="AU86" i="7"/>
  <c r="AP87" i="7"/>
  <c r="AQ87" i="7"/>
  <c r="AO87" i="7"/>
  <c r="AR87" i="7"/>
  <c r="AT87" i="7"/>
  <c r="AS87" i="7"/>
  <c r="AU87" i="7"/>
  <c r="AN88" i="7" a="1"/>
  <c r="AN89" i="7"/>
  <c r="AN90" i="7"/>
  <c r="AN91" i="7"/>
  <c r="AN92" i="7"/>
  <c r="AN93" i="7"/>
  <c r="AN94" i="7"/>
  <c r="AN88" i="7"/>
  <c r="AP88" i="7" a="1"/>
  <c r="AP88" i="7"/>
  <c r="AQ88" i="7"/>
  <c r="AO88" i="7" a="1"/>
  <c r="AO88" i="7"/>
  <c r="AR88" i="7"/>
  <c r="AT88" i="7"/>
  <c r="AS88" i="7"/>
  <c r="AU88" i="7"/>
  <c r="AP89" i="7"/>
  <c r="AQ89" i="7"/>
  <c r="AO89" i="7"/>
  <c r="AR89" i="7"/>
  <c r="AT89" i="7"/>
  <c r="AS89" i="7"/>
  <c r="AU89" i="7"/>
  <c r="AP90" i="7"/>
  <c r="AQ90" i="7"/>
  <c r="AO90" i="7"/>
  <c r="AR90" i="7"/>
  <c r="AT90" i="7"/>
  <c r="AS90" i="7"/>
  <c r="AU90" i="7"/>
  <c r="AP91" i="7"/>
  <c r="AQ91" i="7"/>
  <c r="AO91" i="7"/>
  <c r="AR91" i="7"/>
  <c r="AT91" i="7"/>
  <c r="AS91" i="7"/>
  <c r="AU91" i="7"/>
  <c r="AP92" i="7"/>
  <c r="AQ92" i="7"/>
  <c r="AO92" i="7"/>
  <c r="AR92" i="7"/>
  <c r="AT92" i="7"/>
  <c r="AS92" i="7"/>
  <c r="AU92" i="7"/>
  <c r="AP93" i="7"/>
  <c r="AQ93" i="7"/>
  <c r="AO93" i="7"/>
  <c r="AR93" i="7"/>
  <c r="AT93" i="7"/>
  <c r="AS93" i="7"/>
  <c r="AU93" i="7"/>
  <c r="AP94" i="7"/>
  <c r="AQ94" i="7"/>
  <c r="AO94" i="7"/>
  <c r="AR94" i="7"/>
  <c r="AT94" i="7"/>
  <c r="AS94" i="7"/>
  <c r="AU94" i="7"/>
  <c r="AN95" i="7" a="1"/>
  <c r="AN96" i="7"/>
  <c r="AN97" i="7"/>
  <c r="AN98" i="7"/>
  <c r="AN99" i="7"/>
  <c r="AN100" i="7"/>
  <c r="AN101" i="7"/>
  <c r="AN95" i="7"/>
  <c r="AP95" i="7" a="1"/>
  <c r="AP95" i="7"/>
  <c r="AQ95" i="7"/>
  <c r="AO95" i="7" a="1"/>
  <c r="AO95" i="7"/>
  <c r="AR95" i="7"/>
  <c r="AT95" i="7"/>
  <c r="AS95" i="7"/>
  <c r="AU95" i="7"/>
  <c r="AP96" i="7"/>
  <c r="AQ96" i="7"/>
  <c r="AO96" i="7"/>
  <c r="AR96" i="7"/>
  <c r="AT96" i="7"/>
  <c r="AS96" i="7"/>
  <c r="AU96" i="7"/>
  <c r="AP97" i="7"/>
  <c r="AQ97" i="7"/>
  <c r="AO97" i="7"/>
  <c r="AR97" i="7"/>
  <c r="AT97" i="7"/>
  <c r="AS97" i="7"/>
  <c r="AU97" i="7"/>
  <c r="AP98" i="7"/>
  <c r="AQ98" i="7"/>
  <c r="AO98" i="7"/>
  <c r="AR98" i="7"/>
  <c r="AT98" i="7"/>
  <c r="AS98" i="7"/>
  <c r="AU98" i="7"/>
  <c r="AP99" i="7"/>
  <c r="AQ99" i="7"/>
  <c r="AO99" i="7"/>
  <c r="AR99" i="7"/>
  <c r="AT99" i="7"/>
  <c r="AS99" i="7"/>
  <c r="AU99" i="7"/>
  <c r="AP100" i="7"/>
  <c r="AQ100" i="7"/>
  <c r="AO100" i="7"/>
  <c r="AR100" i="7"/>
  <c r="AT100" i="7"/>
  <c r="AS100" i="7"/>
  <c r="AU100" i="7"/>
  <c r="AP101" i="7"/>
  <c r="AQ101" i="7"/>
  <c r="AO101" i="7"/>
  <c r="AR101" i="7"/>
  <c r="AT101" i="7"/>
  <c r="AS101" i="7"/>
  <c r="AU101" i="7"/>
  <c r="AP74" i="7" a="1"/>
  <c r="AP80" i="7"/>
  <c r="AQ80" i="7"/>
  <c r="AS73" i="7"/>
  <c r="AU73" i="7"/>
  <c r="AP79" i="7"/>
  <c r="AQ79" i="7"/>
  <c r="AS72" i="7"/>
  <c r="AU72" i="7"/>
  <c r="AP78" i="7"/>
  <c r="AQ78" i="7"/>
  <c r="AS71" i="7"/>
  <c r="AU71" i="7"/>
  <c r="AP77" i="7"/>
  <c r="AQ77" i="7"/>
  <c r="AS70" i="7"/>
  <c r="AU70" i="7"/>
  <c r="AP76" i="7"/>
  <c r="AQ76" i="7"/>
  <c r="AS69" i="7"/>
  <c r="AU69" i="7"/>
  <c r="AP75" i="7"/>
  <c r="AQ75" i="7"/>
  <c r="AS68" i="7"/>
  <c r="AU68" i="7"/>
  <c r="AP74" i="7"/>
  <c r="AQ74" i="7"/>
  <c r="AS67" i="7"/>
  <c r="AU67" i="7"/>
  <c r="AP74" i="6" a="1"/>
  <c r="AP80" i="6"/>
  <c r="AQ80" i="6"/>
  <c r="AS73" i="6"/>
  <c r="AP79" i="6"/>
  <c r="AQ79" i="6"/>
  <c r="AS72" i="6"/>
  <c r="AP78" i="6"/>
  <c r="AQ78" i="6"/>
  <c r="AS71" i="6"/>
  <c r="AP77" i="6"/>
  <c r="AQ77" i="6"/>
  <c r="AS70" i="6"/>
  <c r="AP76" i="6"/>
  <c r="AQ76" i="6"/>
  <c r="AS69" i="6"/>
  <c r="AP75" i="6"/>
  <c r="AQ75" i="6"/>
  <c r="AS68" i="6"/>
  <c r="AP74" i="6"/>
  <c r="AQ74" i="6"/>
  <c r="AS67" i="6"/>
</calcChain>
</file>

<file path=xl/comments1.xml><?xml version="1.0" encoding="utf-8"?>
<comments xmlns="http://schemas.openxmlformats.org/spreadsheetml/2006/main">
  <authors>
    <author/>
  </authors>
  <commentList>
    <comment ref="G1" authorId="0">
      <text>
        <r>
          <rPr>
            <sz val="10"/>
            <color rgb="FF000000"/>
            <rFont val="Arial"/>
          </rPr>
          <t>units are m3 of sampled air / cm2 of filter. note that not the full filter is taken into account since the filter holder cuts off some edge with no aerosol deposition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1" authorId="0">
      <text>
        <r>
          <rPr>
            <sz val="10"/>
            <color rgb="FF000000"/>
            <rFont val="Arial"/>
          </rPr>
          <t>changed ref value, see email chain from 2014/11/07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2" authorId="0">
      <text>
        <r>
          <rPr>
            <sz val="10"/>
            <color rgb="FF000000"/>
            <rFont val="Arial"/>
          </rPr>
          <t>5% if only one data point available</t>
        </r>
      </text>
    </comment>
    <comment ref="AP81" authorId="0">
      <text>
        <r>
          <rPr>
            <sz val="10"/>
            <color rgb="FF000000"/>
            <rFont val="Arial"/>
          </rPr>
          <t>these are the values for the triply measured same filter size. I trust them more. /carl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2" authorId="0">
      <text>
        <r>
          <rPr>
            <sz val="10"/>
            <color rgb="FF000000"/>
            <rFont val="Arial"/>
          </rPr>
          <t xml:space="preserve">5 % if only one data point available 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2" authorId="0">
      <text>
        <r>
          <rPr>
            <sz val="10"/>
            <color rgb="FF000000"/>
            <rFont val="Arial"/>
          </rPr>
          <t xml:space="preserve">5 % if only one data point available </t>
        </r>
      </text>
    </comment>
  </commentList>
</comments>
</file>

<file path=xl/sharedStrings.xml><?xml version="1.0" encoding="utf-8"?>
<sst xmlns="http://schemas.openxmlformats.org/spreadsheetml/2006/main" count="179" uniqueCount="116">
  <si>
    <t>filter #</t>
  </si>
  <si>
    <t>date</t>
  </si>
  <si>
    <t>compound</t>
  </si>
  <si>
    <t>setup</t>
  </si>
  <si>
    <t>sampling time / h</t>
  </si>
  <si>
    <t>sample volume /m3</t>
  </si>
  <si>
    <t>(filter) normalized sample volume / m3/cm2</t>
  </si>
  <si>
    <t>mass diff / ug</t>
  </si>
  <si>
    <t>old filter name (in files)</t>
  </si>
  <si>
    <t>B2b</t>
  </si>
  <si>
    <t>filter mass pre /g</t>
  </si>
  <si>
    <t>time 1</t>
  </si>
  <si>
    <t>a-pin, 1-buOH</t>
  </si>
  <si>
    <t>filter mass post /g</t>
  </si>
  <si>
    <t>cont flow bag, bottom</t>
  </si>
  <si>
    <t>sampling start</t>
  </si>
  <si>
    <t>time 2</t>
  </si>
  <si>
    <t>time 3</t>
  </si>
  <si>
    <t>sampling end</t>
  </si>
  <si>
    <t>time 4</t>
  </si>
  <si>
    <t>nominal flow / L/min</t>
  </si>
  <si>
    <t>time 5</t>
  </si>
  <si>
    <t>time 6</t>
  </si>
  <si>
    <t>B2f</t>
  </si>
  <si>
    <t>cont flow bag, top</t>
  </si>
  <si>
    <t>B1b</t>
  </si>
  <si>
    <t>filename</t>
  </si>
  <si>
    <t>temp /degC</t>
  </si>
  <si>
    <t>filter size /cm2</t>
  </si>
  <si>
    <t>peak area /mVs</t>
  </si>
  <si>
    <t>d13C /‰</t>
  </si>
  <si>
    <t>d18O /‰</t>
  </si>
  <si>
    <t>re-evaluated d13C</t>
  </si>
  <si>
    <t>B1f</t>
  </si>
  <si>
    <t>120924_alpi_f6_7step</t>
  </si>
  <si>
    <t>C1b</t>
  </si>
  <si>
    <t>a-pin, cyclohexane</t>
  </si>
  <si>
    <t>C1f</t>
  </si>
  <si>
    <t>C2b</t>
  </si>
  <si>
    <t>C2f</t>
  </si>
  <si>
    <t>120924_alpi_f6_7step_2</t>
  </si>
  <si>
    <t>run</t>
  </si>
  <si>
    <t>HB</t>
  </si>
  <si>
    <t>baked filter in baked glass</t>
  </si>
  <si>
    <t>bk2</t>
  </si>
  <si>
    <t>handling blank</t>
  </si>
  <si>
    <t>backup</t>
  </si>
  <si>
    <t>front</t>
  </si>
  <si>
    <t>bk3</t>
  </si>
  <si>
    <t>blank filters (pre-heated)</t>
  </si>
  <si>
    <t>--</t>
  </si>
  <si>
    <t>120926_bk_f41_7step_1</t>
  </si>
  <si>
    <t>120926_bk_f41_7step_2</t>
  </si>
  <si>
    <t>120926_bk3_f21_7step_1</t>
  </si>
  <si>
    <t>description</t>
  </si>
  <si>
    <t>120927_bk3_f21_7step_2</t>
  </si>
  <si>
    <t>filter ID - size</t>
  </si>
  <si>
    <t>temperature /degC</t>
  </si>
  <si>
    <t>peak area</t>
  </si>
  <si>
    <t>std</t>
  </si>
  <si>
    <t>filter piece area /cm2</t>
  </si>
  <si>
    <t>filter-normalized peak area / mVs/cm2</t>
  </si>
  <si>
    <t>av</t>
  </si>
  <si>
    <t>volume-normalized peak area / mVs/m3</t>
  </si>
  <si>
    <t>30 - 2p</t>
  </si>
  <si>
    <t>20120927_bk3_f21_7step_3</t>
  </si>
  <si>
    <t>filter ID / size</t>
  </si>
  <si>
    <t>d13C</t>
  </si>
  <si>
    <t>sigma PA</t>
  </si>
  <si>
    <t>20120928_bk3_f21_7step_4</t>
  </si>
  <si>
    <t>blank corrected peak area</t>
  </si>
  <si>
    <t>blank corrected d13C</t>
  </si>
  <si>
    <t>sigma d13C</t>
  </si>
  <si>
    <t>weight</t>
  </si>
  <si>
    <t>weighted average d13C</t>
  </si>
  <si>
    <t>sigma weighted d13C</t>
  </si>
  <si>
    <t>∆d13C = d13C - -29.96</t>
  </si>
  <si>
    <t>20101001_bk_f30_7step</t>
  </si>
  <si>
    <t>20101001_bk_f30_7step_2</t>
  </si>
  <si>
    <t>20101002_bk_f30_7step_3</t>
  </si>
  <si>
    <t>20121002_bk_f30_7step_4</t>
  </si>
  <si>
    <t>30 - 1p</t>
  </si>
  <si>
    <t>20121002_bk_f41_7step_3</t>
  </si>
  <si>
    <t>20121002_bk_f41_7step_4</t>
  </si>
  <si>
    <t>41 - 1p</t>
  </si>
  <si>
    <t>20121003_bk_f41_7step_5</t>
  </si>
  <si>
    <t>20121003_bk_f41_7step_6</t>
  </si>
  <si>
    <t>20121003_bk_f41_7step_7</t>
  </si>
  <si>
    <t>20121004_bk3_f21_7step_5</t>
  </si>
  <si>
    <t>41 - 1sp</t>
  </si>
  <si>
    <t>20121004_bk3_f21_7step_6</t>
  </si>
  <si>
    <t>20121004_alpi_f3_7step_1</t>
  </si>
  <si>
    <t>20121004_alpi_f4_7step_1</t>
  </si>
  <si>
    <t>20121004_alpi_f4_7step_2</t>
  </si>
  <si>
    <t>20121004_alpi_f4_7step_3</t>
  </si>
  <si>
    <t>21 - 2p</t>
  </si>
  <si>
    <t>20121004_alpi_f4_7step_4</t>
  </si>
  <si>
    <t>20121004_alpi_f5_7step_1</t>
  </si>
  <si>
    <t>20121004_alpi_f3_7step_2</t>
  </si>
  <si>
    <t>20121005_bk_f53_7step_3</t>
  </si>
  <si>
    <t>20121005_alpi_f6_7step_3</t>
  </si>
  <si>
    <t>20121005_alpi_f8_7step_1</t>
  </si>
  <si>
    <t>21 - 2sp</t>
  </si>
  <si>
    <t>20121005_alpi_f8_7step_2</t>
  </si>
  <si>
    <t>20121005_alpi_f8_7step_3</t>
  </si>
  <si>
    <t>20121005_alpi_f2_7step_1</t>
  </si>
  <si>
    <t>21 - 1sp</t>
  </si>
  <si>
    <t>2 - 1hp</t>
  </si>
  <si>
    <t>sigma ∆d13C</t>
  </si>
  <si>
    <t>3 - 2p</t>
  </si>
  <si>
    <t>3 - 1p</t>
  </si>
  <si>
    <t>4 - 1sp</t>
  </si>
  <si>
    <t>4 - 05sp</t>
  </si>
  <si>
    <t>5 - 2p</t>
  </si>
  <si>
    <t>6 - 1sp</t>
  </si>
  <si>
    <t>8 - 05sp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</si>
</sst>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#,##0.0"/>
  </numFmts>
  <fonts count="5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165" fontId="1" fillId="0" borderId="2" xfId="0" applyNumberFormat="1" applyFont="1" applyBorder="1" applyAlignment="1">
      <alignment wrapText="1"/>
    </xf>
    <xf numFmtId="165" fontId="1" fillId="0" borderId="2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165" fontId="2" fillId="2" borderId="0" xfId="0" applyNumberFormat="1" applyFont="1" applyFill="1" applyAlignment="1">
      <alignment wrapText="1"/>
    </xf>
    <xf numFmtId="0" fontId="1" fillId="0" borderId="4" xfId="0" applyFont="1" applyBorder="1" applyAlignment="1">
      <alignment wrapText="1"/>
    </xf>
    <xf numFmtId="165" fontId="1" fillId="2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65" fontId="2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165" fontId="1" fillId="0" borderId="4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165" fontId="2" fillId="3" borderId="0" xfId="0" applyNumberFormat="1" applyFont="1" applyFill="1" applyAlignment="1">
      <alignment wrapText="1"/>
    </xf>
    <xf numFmtId="165" fontId="1" fillId="3" borderId="0" xfId="0" applyNumberFormat="1" applyFont="1" applyFill="1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469900</xdr:colOff>
      <xdr:row>83</xdr:row>
      <xdr:rowOff>50800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571500</xdr:colOff>
      <xdr:row>83</xdr:row>
      <xdr:rowOff>50800</xdr:rowOff>
    </xdr:to>
    <xdr:sp macro="" textlink="">
      <xdr:nvSpPr>
        <xdr:cNvPr id="2049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1333500</xdr:colOff>
      <xdr:row>83</xdr:row>
      <xdr:rowOff>50800</xdr:rowOff>
    </xdr:to>
    <xdr:sp macro="" textlink="">
      <xdr:nvSpPr>
        <xdr:cNvPr id="3074" name="Rectangle 2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533400</xdr:colOff>
      <xdr:row>83</xdr:row>
      <xdr:rowOff>50800</xdr:rowOff>
    </xdr:to>
    <xdr:sp macro="" textlink="">
      <xdr:nvSpPr>
        <xdr:cNvPr id="4097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533400</xdr:colOff>
      <xdr:row>83</xdr:row>
      <xdr:rowOff>50800</xdr:rowOff>
    </xdr:to>
    <xdr:sp macro="" textlink="">
      <xdr:nvSpPr>
        <xdr:cNvPr id="5121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baseColWidth="10" defaultColWidth="14.5" defaultRowHeight="12.75" customHeight="1" x14ac:dyDescent="0"/>
  <cols>
    <col min="1" max="1" width="7" customWidth="1"/>
    <col min="2" max="2" width="10.6640625" customWidth="1"/>
    <col min="3" max="3" width="17.33203125" customWidth="1"/>
    <col min="4" max="4" width="20" customWidth="1"/>
    <col min="5" max="5" width="10" customWidth="1"/>
    <col min="6" max="6" width="11.6640625" customWidth="1"/>
    <col min="7" max="7" width="22.1640625" customWidth="1"/>
    <col min="8" max="8" width="11.1640625" bestFit="1" customWidth="1"/>
    <col min="9" max="9" width="18.1640625" bestFit="1" customWidth="1"/>
  </cols>
  <sheetData>
    <row r="1" spans="1:9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ht="12.75" customHeight="1">
      <c r="A2" s="3" t="s">
        <v>9</v>
      </c>
      <c r="B2" s="4">
        <v>40997</v>
      </c>
      <c r="C2" s="1" t="s">
        <v>12</v>
      </c>
      <c r="D2" s="1" t="s">
        <v>14</v>
      </c>
      <c r="E2" s="6">
        <f>('exp paras'!E2 -'exp paras'!D2) *24</f>
        <v>16.750000000116415</v>
      </c>
      <c r="F2" s="6">
        <f>E2*'exp paras'!F2*0.001*60</f>
        <v>10.050000000069851</v>
      </c>
      <c r="G2" s="6">
        <f t="shared" ref="G2:G9" si="0">F2 / (PI()*((4.7-0.3)/2)^2)</f>
        <v>0.66095337937382848</v>
      </c>
      <c r="H2" s="6">
        <f>('exp paras'!C2-'exp paras'!B2) *1000000</f>
        <v>789.99999999998511</v>
      </c>
      <c r="I2" s="3">
        <v>1</v>
      </c>
    </row>
    <row r="3" spans="1:9" ht="12.75" customHeight="1">
      <c r="A3" s="3" t="s">
        <v>23</v>
      </c>
      <c r="B3" s="4">
        <v>40997</v>
      </c>
      <c r="C3" s="1" t="s">
        <v>12</v>
      </c>
      <c r="D3" s="1" t="s">
        <v>24</v>
      </c>
      <c r="E3" s="6">
        <f>('exp paras'!E3 -'exp paras'!D3) *24</f>
        <v>16.750000000116415</v>
      </c>
      <c r="F3" s="6">
        <f>E3*'exp paras'!F3*0.001*60</f>
        <v>10.050000000069851</v>
      </c>
      <c r="G3" s="6">
        <f t="shared" si="0"/>
        <v>0.66095337937382848</v>
      </c>
      <c r="H3" s="6">
        <f>('exp paras'!C3-'exp paras'!B3) *1000000</f>
        <v>699.9999999999784</v>
      </c>
      <c r="I3" s="3">
        <v>2</v>
      </c>
    </row>
    <row r="4" spans="1:9" ht="12.75" customHeight="1">
      <c r="A4" s="3" t="s">
        <v>25</v>
      </c>
      <c r="B4" s="4">
        <v>40998</v>
      </c>
      <c r="C4" s="1" t="s">
        <v>12</v>
      </c>
      <c r="D4" s="1" t="s">
        <v>14</v>
      </c>
      <c r="E4" s="6">
        <f>('exp paras'!E4 -'exp paras'!D4) *24</f>
        <v>47.000000000058208</v>
      </c>
      <c r="F4" s="6">
        <f>E4*'exp paras'!F4*0.001*60</f>
        <v>28.200000000034922</v>
      </c>
      <c r="G4" s="6">
        <f t="shared" si="0"/>
        <v>1.8546154525607463</v>
      </c>
      <c r="H4" s="6">
        <f>('exp paras'!C4-'exp paras'!B4) *1000000</f>
        <v>1340.000000000008</v>
      </c>
      <c r="I4" s="3">
        <v>3</v>
      </c>
    </row>
    <row r="5" spans="1:9" ht="12.75" customHeight="1">
      <c r="A5" s="3" t="s">
        <v>33</v>
      </c>
      <c r="B5" s="4">
        <v>40998</v>
      </c>
      <c r="C5" s="1" t="s">
        <v>12</v>
      </c>
      <c r="D5" s="1" t="s">
        <v>24</v>
      </c>
      <c r="E5" s="6">
        <f>('exp paras'!E5 -'exp paras'!D5) *24</f>
        <v>47.000000000058208</v>
      </c>
      <c r="F5" s="6">
        <f>E5*'exp paras'!F5*0.001*60</f>
        <v>28.200000000034922</v>
      </c>
      <c r="G5" s="6">
        <f t="shared" si="0"/>
        <v>1.8546154525607463</v>
      </c>
      <c r="H5" s="6">
        <f>('exp paras'!C5-'exp paras'!B5) *1000000</f>
        <v>1670.0000000000048</v>
      </c>
      <c r="I5" s="3">
        <v>4</v>
      </c>
    </row>
    <row r="6" spans="1:9" ht="12.75" customHeight="1">
      <c r="A6" s="3" t="s">
        <v>35</v>
      </c>
      <c r="B6" s="4">
        <v>41002</v>
      </c>
      <c r="C6" s="1" t="s">
        <v>36</v>
      </c>
      <c r="D6" s="1" t="s">
        <v>14</v>
      </c>
      <c r="E6" s="6">
        <f>('exp paras'!E6 -'exp paras'!D6) *24</f>
        <v>24.500000000058208</v>
      </c>
      <c r="F6" s="6">
        <f>E6*'exp paras'!F6*0.001*60</f>
        <v>14.700000000034926</v>
      </c>
      <c r="G6" s="6">
        <f t="shared" si="0"/>
        <v>0.96676762952744622</v>
      </c>
      <c r="H6" s="6">
        <f>('exp paras'!C6-'exp paras'!B6) *1000000</f>
        <v>270.00000000002024</v>
      </c>
      <c r="I6" s="3">
        <v>5</v>
      </c>
    </row>
    <row r="7" spans="1:9" ht="12.75" customHeight="1">
      <c r="A7" s="3" t="s">
        <v>37</v>
      </c>
      <c r="B7" s="4">
        <v>41002</v>
      </c>
      <c r="C7" s="1" t="s">
        <v>36</v>
      </c>
      <c r="D7" s="1" t="s">
        <v>24</v>
      </c>
      <c r="E7" s="6">
        <f>('exp paras'!E7 -'exp paras'!D7) *24</f>
        <v>24.500000000058208</v>
      </c>
      <c r="F7" s="6">
        <f>E7*'exp paras'!F7*0.001*60</f>
        <v>14.700000000034926</v>
      </c>
      <c r="G7" s="6">
        <f t="shared" si="0"/>
        <v>0.96676762952744622</v>
      </c>
      <c r="H7" s="6">
        <f>('exp paras'!C7-'exp paras'!B7) *1000000</f>
        <v>1429.9999999999868</v>
      </c>
      <c r="I7" s="3">
        <v>6</v>
      </c>
    </row>
    <row r="8" spans="1:9" ht="12.75" customHeight="1">
      <c r="A8" s="3" t="s">
        <v>38</v>
      </c>
      <c r="B8" s="4">
        <v>41003</v>
      </c>
      <c r="C8" s="1" t="s">
        <v>36</v>
      </c>
      <c r="D8" s="1" t="s">
        <v>14</v>
      </c>
      <c r="E8" s="6">
        <f>('exp paras'!E8 -'exp paras'!D8) *24</f>
        <v>27.499999999883585</v>
      </c>
      <c r="F8" s="6">
        <f>E8*'exp paras'!F8*0.001*60</f>
        <v>16.49999999993015</v>
      </c>
      <c r="G8" s="6">
        <f t="shared" si="0"/>
        <v>1.0851473392583288</v>
      </c>
      <c r="H8" s="6">
        <f>('exp paras'!C8-'exp paras'!B8) *1000000</f>
        <v>590.00000000000716</v>
      </c>
      <c r="I8" s="3">
        <v>7</v>
      </c>
    </row>
    <row r="9" spans="1:9" ht="12.75" customHeight="1">
      <c r="A9" s="3" t="s">
        <v>39</v>
      </c>
      <c r="B9" s="4">
        <v>41003</v>
      </c>
      <c r="C9" s="1" t="s">
        <v>36</v>
      </c>
      <c r="D9" s="1" t="s">
        <v>24</v>
      </c>
      <c r="E9" s="6">
        <f>('exp paras'!E9 -'exp paras'!D9) *24</f>
        <v>27.499999999883585</v>
      </c>
      <c r="F9" s="6">
        <f>E9*'exp paras'!F9*0.001*60</f>
        <v>16.49999999993015</v>
      </c>
      <c r="G9" s="6">
        <f t="shared" si="0"/>
        <v>1.0851473392583288</v>
      </c>
      <c r="H9" s="6">
        <f>('exp paras'!C9-'exp paras'!B9) *1000000</f>
        <v>1140.000000000002</v>
      </c>
      <c r="I9" s="3">
        <v>8</v>
      </c>
    </row>
    <row r="11" spans="1:9" ht="12.75" customHeight="1">
      <c r="A11" s="3" t="s">
        <v>42</v>
      </c>
      <c r="B11" s="4">
        <v>40997</v>
      </c>
      <c r="C11" s="1" t="s">
        <v>43</v>
      </c>
      <c r="I11" s="3" t="s">
        <v>44</v>
      </c>
    </row>
    <row r="12" spans="1:9" ht="12.75" customHeight="1">
      <c r="A12" s="1">
        <v>30</v>
      </c>
      <c r="B12" s="4">
        <v>41135</v>
      </c>
      <c r="C12" s="1" t="s">
        <v>45</v>
      </c>
      <c r="D12" s="1" t="s">
        <v>46</v>
      </c>
      <c r="I12" s="1"/>
    </row>
    <row r="13" spans="1:9" ht="12.75" customHeight="1">
      <c r="A13" s="1">
        <v>41</v>
      </c>
      <c r="B13" s="4">
        <v>41135</v>
      </c>
      <c r="C13" s="1" t="s">
        <v>45</v>
      </c>
      <c r="D13" s="1" t="s">
        <v>47</v>
      </c>
    </row>
    <row r="14" spans="1:9" ht="12.75" customHeight="1">
      <c r="A14" s="3" t="s">
        <v>48</v>
      </c>
      <c r="B14" s="4">
        <v>41164</v>
      </c>
      <c r="C14" s="1" t="s">
        <v>49</v>
      </c>
      <c r="D14" s="1" t="s">
        <v>50</v>
      </c>
      <c r="I14" s="3">
        <v>21</v>
      </c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4.5" defaultRowHeight="12.75" customHeight="1" x14ac:dyDescent="0"/>
  <cols>
    <col min="1" max="1" width="9.6640625" customWidth="1"/>
    <col min="2" max="3" width="17.33203125" customWidth="1"/>
    <col min="4" max="4" width="18.5" customWidth="1"/>
    <col min="5" max="5" width="19.33203125" customWidth="1"/>
    <col min="6" max="6" width="16.1640625" bestFit="1" customWidth="1"/>
  </cols>
  <sheetData>
    <row r="1" spans="1:6" ht="12.75" customHeight="1">
      <c r="A1" s="2" t="str">
        <f>overview!A1</f>
        <v>filter #</v>
      </c>
      <c r="B1" s="1" t="s">
        <v>10</v>
      </c>
      <c r="C1" s="1" t="s">
        <v>13</v>
      </c>
      <c r="D1" s="1" t="s">
        <v>15</v>
      </c>
      <c r="E1" s="1" t="s">
        <v>18</v>
      </c>
      <c r="F1" s="1" t="s">
        <v>20</v>
      </c>
    </row>
    <row r="2" spans="1:6" ht="12.75" customHeight="1">
      <c r="A2" s="2" t="str">
        <f>overview!A2</f>
        <v>B2b</v>
      </c>
      <c r="B2" s="1">
        <v>0.15201000000000001</v>
      </c>
      <c r="C2" s="1">
        <v>0.15279999999999999</v>
      </c>
      <c r="D2" s="5">
        <v>40997.791666666664</v>
      </c>
      <c r="E2" s="5">
        <v>40998.489583333336</v>
      </c>
      <c r="F2" s="1">
        <v>10</v>
      </c>
    </row>
    <row r="3" spans="1:6" ht="12.75" customHeight="1">
      <c r="A3" s="2" t="str">
        <f>overview!A3</f>
        <v>B2f</v>
      </c>
      <c r="B3" s="1">
        <v>0.15393000000000001</v>
      </c>
      <c r="C3" s="1">
        <v>0.15462999999999999</v>
      </c>
      <c r="D3" s="5">
        <v>40997.791666666664</v>
      </c>
      <c r="E3" s="5">
        <v>40998.489583333336</v>
      </c>
      <c r="F3" s="1">
        <v>10</v>
      </c>
    </row>
    <row r="4" spans="1:6" ht="12.75" customHeight="1">
      <c r="A4" s="2" t="str">
        <f>overview!A4</f>
        <v>B1b</v>
      </c>
      <c r="B4" s="1">
        <v>0.15342</v>
      </c>
      <c r="C4" s="1">
        <v>0.15476000000000001</v>
      </c>
      <c r="D4" s="5">
        <v>40998.5625</v>
      </c>
      <c r="E4" s="7">
        <v>41000.520833333336</v>
      </c>
      <c r="F4" s="1">
        <v>10</v>
      </c>
    </row>
    <row r="5" spans="1:6" ht="12.75" customHeight="1">
      <c r="A5" s="2" t="str">
        <f>overview!A5</f>
        <v>B1f</v>
      </c>
      <c r="B5" s="1">
        <v>0.15493999999999999</v>
      </c>
      <c r="C5" s="1">
        <v>0.15661</v>
      </c>
      <c r="D5" s="5">
        <v>40998.5625</v>
      </c>
      <c r="E5" s="7">
        <v>41000.520833333336</v>
      </c>
      <c r="F5" s="1">
        <v>10</v>
      </c>
    </row>
    <row r="6" spans="1:6" ht="12.75" customHeight="1">
      <c r="A6" s="2" t="str">
        <f>overview!A6</f>
        <v>C1b</v>
      </c>
      <c r="B6" s="1">
        <v>0.15359999999999999</v>
      </c>
      <c r="C6" s="1">
        <v>0.15387000000000001</v>
      </c>
      <c r="D6" s="7">
        <v>41002.625</v>
      </c>
      <c r="E6" s="7">
        <v>41003.645833333336</v>
      </c>
      <c r="F6" s="1">
        <v>10</v>
      </c>
    </row>
    <row r="7" spans="1:6" ht="12.75" customHeight="1">
      <c r="A7" s="2" t="str">
        <f>overview!A7</f>
        <v>C1f</v>
      </c>
      <c r="B7" s="1">
        <v>0.15260000000000001</v>
      </c>
      <c r="C7" s="1">
        <v>0.15403</v>
      </c>
      <c r="D7" s="7">
        <v>41002.625</v>
      </c>
      <c r="E7" s="7">
        <v>41003.645833333336</v>
      </c>
      <c r="F7" s="1">
        <v>10</v>
      </c>
    </row>
    <row r="8" spans="1:6" ht="12.75" customHeight="1">
      <c r="A8" s="2" t="str">
        <f>overview!A8</f>
        <v>C2b</v>
      </c>
      <c r="B8" s="1">
        <v>0.15154999999999999</v>
      </c>
      <c r="C8" s="1">
        <v>0.15214</v>
      </c>
      <c r="D8" s="7">
        <v>41003.739583333336</v>
      </c>
      <c r="E8" s="7">
        <v>41004.885416666664</v>
      </c>
      <c r="F8" s="1">
        <v>10</v>
      </c>
    </row>
    <row r="9" spans="1:6" ht="12.75" customHeight="1">
      <c r="A9" s="2" t="str">
        <f>overview!A9</f>
        <v>C2f</v>
      </c>
      <c r="B9" s="1">
        <v>0.15168999999999999</v>
      </c>
      <c r="C9" s="1">
        <v>0.15282999999999999</v>
      </c>
      <c r="D9" s="7">
        <v>41003.739583333336</v>
      </c>
      <c r="E9" s="7">
        <v>41004.885416666664</v>
      </c>
      <c r="F9" s="1">
        <v>10</v>
      </c>
    </row>
    <row r="10" spans="1:6" ht="12.75" customHeight="1">
      <c r="A10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6" sqref="C16"/>
    </sheetView>
  </sheetViews>
  <sheetFormatPr baseColWidth="10" defaultColWidth="14.5" defaultRowHeight="12.75" customHeight="1" x14ac:dyDescent="0"/>
  <cols>
    <col min="1" max="1" width="8.1640625" customWidth="1"/>
    <col min="2" max="2" width="20.6640625" bestFit="1" customWidth="1"/>
    <col min="3" max="3" width="20.5" customWidth="1"/>
    <col min="4" max="10" width="17.33203125" customWidth="1"/>
  </cols>
  <sheetData>
    <row r="1" spans="1:9" ht="12.75" customHeight="1">
      <c r="A1" s="2" t="str">
        <f>overview!A1</f>
        <v>filter #</v>
      </c>
      <c r="B1" s="2" t="str">
        <f>overview!C1</f>
        <v>compound</v>
      </c>
      <c r="C1" s="2" t="str">
        <f>overview!D1</f>
        <v>setup</v>
      </c>
      <c r="D1" s="1" t="s">
        <v>11</v>
      </c>
      <c r="E1" s="1" t="s">
        <v>16</v>
      </c>
      <c r="F1" s="1" t="s">
        <v>17</v>
      </c>
      <c r="G1" s="1" t="s">
        <v>19</v>
      </c>
      <c r="H1" s="1" t="s">
        <v>21</v>
      </c>
      <c r="I1" s="1" t="s">
        <v>22</v>
      </c>
    </row>
    <row r="2" spans="1:9" ht="12.75" customHeight="1">
      <c r="A2" s="2" t="str">
        <f>overview!A2</f>
        <v>B2b</v>
      </c>
      <c r="B2" s="2" t="str">
        <f>overview!C2</f>
        <v>a-pin, 1-buOH</v>
      </c>
      <c r="C2" s="2" t="str">
        <f>overview!D2</f>
        <v>cont flow bag, bottom</v>
      </c>
    </row>
    <row r="3" spans="1:9" ht="12.75" customHeight="1">
      <c r="A3" s="2" t="str">
        <f>overview!A3</f>
        <v>B2f</v>
      </c>
      <c r="B3" s="2" t="str">
        <f>overview!C3</f>
        <v>a-pin, 1-buOH</v>
      </c>
      <c r="C3" s="2" t="str">
        <f>overview!D3</f>
        <v>cont flow bag, top</v>
      </c>
      <c r="D3" s="7">
        <v>40439.675000000003</v>
      </c>
      <c r="E3" s="7">
        <v>40439.695138888892</v>
      </c>
      <c r="F3" s="7">
        <v>40439.71875</v>
      </c>
    </row>
    <row r="4" spans="1:9" ht="12.75" customHeight="1">
      <c r="A4" s="2" t="str">
        <f>overview!A4</f>
        <v>B1b</v>
      </c>
      <c r="B4" s="2" t="str">
        <f>overview!C4</f>
        <v>a-pin, 1-buOH</v>
      </c>
      <c r="C4" s="2" t="str">
        <f>overview!D4</f>
        <v>cont flow bag, bottom</v>
      </c>
      <c r="D4" s="7">
        <v>41170.762499999997</v>
      </c>
      <c r="E4" s="7">
        <v>41170.782638888886</v>
      </c>
      <c r="F4" s="7">
        <v>41170.800694444442</v>
      </c>
    </row>
    <row r="5" spans="1:9" ht="12.75" customHeight="1">
      <c r="A5" s="2" t="str">
        <f>overview!A5</f>
        <v>B1f</v>
      </c>
      <c r="B5" s="2" t="str">
        <f>overview!C5</f>
        <v>a-pin, 1-buOH</v>
      </c>
      <c r="C5" s="2" t="str">
        <f>overview!D5</f>
        <v>cont flow bag, top</v>
      </c>
      <c r="D5" s="7">
        <v>40438.799305555556</v>
      </c>
      <c r="E5" s="7">
        <v>40440.377083333333</v>
      </c>
      <c r="F5" s="7">
        <v>40440.395833333336</v>
      </c>
      <c r="G5" s="7">
        <v>40440.413194444445</v>
      </c>
    </row>
    <row r="6" spans="1:9" ht="12.75" customHeight="1">
      <c r="A6" s="2" t="str">
        <f>overview!A6</f>
        <v>C1b</v>
      </c>
      <c r="B6" s="2" t="str">
        <f>overview!C6</f>
        <v>a-pin, cyclohexane</v>
      </c>
      <c r="C6" s="2" t="str">
        <f>overview!D6</f>
        <v>cont flow bag, bottom</v>
      </c>
      <c r="D6" s="7">
        <v>40440.447916666664</v>
      </c>
      <c r="E6" s="7">
        <v>40440.465277777781</v>
      </c>
      <c r="F6" s="7">
        <v>40440.484027777777</v>
      </c>
    </row>
    <row r="7" spans="1:9" ht="12.75" customHeight="1">
      <c r="A7" s="2" t="str">
        <f>overview!A7</f>
        <v>C1f</v>
      </c>
      <c r="B7" s="2" t="str">
        <f>overview!C7</f>
        <v>a-pin, cyclohexane</v>
      </c>
      <c r="C7" s="2" t="str">
        <f>overview!D7</f>
        <v>cont flow bag, top</v>
      </c>
      <c r="D7" s="7">
        <v>40440.536805555559</v>
      </c>
      <c r="E7" s="7">
        <v>40440.554861111108</v>
      </c>
      <c r="F7" s="7">
        <v>40440.571527777778</v>
      </c>
    </row>
    <row r="8" spans="1:9" ht="12.75" customHeight="1">
      <c r="A8" s="2" t="str">
        <f>overview!A8</f>
        <v>C2b</v>
      </c>
      <c r="B8" s="2" t="str">
        <f>overview!C8</f>
        <v>a-pin, cyclohexane</v>
      </c>
      <c r="C8" s="2" t="str">
        <f>overview!D8</f>
        <v>cont flow bag, bottom</v>
      </c>
    </row>
    <row r="9" spans="1:9" ht="12.75" customHeight="1">
      <c r="A9" s="2" t="str">
        <f>overview!A9</f>
        <v>C2f</v>
      </c>
      <c r="B9" s="2" t="str">
        <f>overview!C9</f>
        <v>a-pin, cyclohexane</v>
      </c>
      <c r="C9" s="2" t="str">
        <f>overview!D9</f>
        <v>cont flow bag, top</v>
      </c>
      <c r="D9" s="7">
        <v>40438.709722222222</v>
      </c>
      <c r="E9" s="7">
        <v>40440.607638888891</v>
      </c>
      <c r="F9" s="7">
        <v>40440.625694444447</v>
      </c>
      <c r="G9" s="7">
        <v>40440.643055555556</v>
      </c>
    </row>
    <row r="10" spans="1:9" ht="12.75" customHeight="1">
      <c r="A10" s="2"/>
      <c r="B10" s="2"/>
      <c r="C10" s="2"/>
    </row>
    <row r="11" spans="1:9" ht="12.75" customHeight="1">
      <c r="A11" s="2" t="str">
        <f>overview!A11</f>
        <v>HB</v>
      </c>
      <c r="B11" s="3" t="str">
        <f>overview!C11</f>
        <v>baked filter in baked glass</v>
      </c>
      <c r="C11" s="2" t="str">
        <f>overview!C11</f>
        <v>baked filter in baked glass</v>
      </c>
      <c r="D11" s="7">
        <v>40438.77847222222</v>
      </c>
      <c r="E11" s="7">
        <v>40439.744444444441</v>
      </c>
      <c r="F11" s="7">
        <v>40440.430555555555</v>
      </c>
      <c r="G11" s="7">
        <v>40440.503472222219</v>
      </c>
      <c r="H11" s="7">
        <v>40440.590277777781</v>
      </c>
      <c r="I11" s="7">
        <v>40440.667361111111</v>
      </c>
    </row>
    <row r="12" spans="1:9" ht="12.75" customHeight="1">
      <c r="A12" s="2">
        <f>overview!A12</f>
        <v>30</v>
      </c>
      <c r="B12" s="2" t="str">
        <f>overview!C12</f>
        <v>handling blank</v>
      </c>
      <c r="C12" s="2" t="str">
        <f>overview!D12</f>
        <v>backup</v>
      </c>
      <c r="D12" s="5">
        <v>40442.345833333333</v>
      </c>
      <c r="E12" s="7">
        <v>40442.464583333334</v>
      </c>
      <c r="F12" s="7">
        <v>40442.552083333336</v>
      </c>
    </row>
    <row r="13" spans="1:9" ht="12.75" customHeight="1">
      <c r="A13" s="2">
        <f>overview!A13</f>
        <v>41</v>
      </c>
      <c r="B13" s="2" t="str">
        <f>overview!C13</f>
        <v>handling blank</v>
      </c>
      <c r="C13" s="2" t="str">
        <f>overview!D13</f>
        <v>front</v>
      </c>
      <c r="D13" s="7">
        <v>40441.60833333333</v>
      </c>
      <c r="E13" s="7">
        <v>40441.681250000001</v>
      </c>
      <c r="F13" s="7">
        <v>40441.750694444447</v>
      </c>
    </row>
    <row r="14" spans="1:9" ht="12.75" customHeight="1">
      <c r="A14" s="2" t="str">
        <f>overview!A14</f>
        <v>bk3</v>
      </c>
      <c r="B14" s="2" t="str">
        <f>overview!C14</f>
        <v>blank filters (pre-heated)</v>
      </c>
      <c r="C14" s="2" t="str">
        <f>overview!D14</f>
        <v>--</v>
      </c>
      <c r="D14" s="7">
        <v>40443.475694444445</v>
      </c>
      <c r="E14" s="7">
        <v>40443.543055555558</v>
      </c>
      <c r="F14" s="7">
        <v>40443.613194444442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5"/>
  <sheetViews>
    <sheetView workbookViewId="0">
      <pane ySplit="1" topLeftCell="A183" activePane="bottomLeft" state="frozen"/>
      <selection pane="bottomLeft" activeCell="G1" sqref="G1"/>
    </sheetView>
  </sheetViews>
  <sheetFormatPr baseColWidth="10" defaultColWidth="14.5" defaultRowHeight="12.75" customHeight="1" x14ac:dyDescent="0"/>
  <cols>
    <col min="1" max="1" width="29.1640625" customWidth="1"/>
    <col min="2" max="2" width="6.83203125" customWidth="1"/>
    <col min="3" max="4" width="10.1640625" customWidth="1"/>
    <col min="5" max="6" width="6.5" customWidth="1"/>
    <col min="7" max="7" width="17.33203125" customWidth="1"/>
  </cols>
  <sheetData>
    <row r="1" spans="1:7" ht="12.75" customHeight="1">
      <c r="A1" s="1" t="s">
        <v>26</v>
      </c>
      <c r="B1" s="1" t="s">
        <v>27</v>
      </c>
      <c r="C1" s="1" t="s">
        <v>28</v>
      </c>
      <c r="D1" s="1" t="s">
        <v>29</v>
      </c>
      <c r="E1" s="8" t="s">
        <v>30</v>
      </c>
      <c r="F1" s="8" t="s">
        <v>31</v>
      </c>
      <c r="G1" s="9" t="s">
        <v>32</v>
      </c>
    </row>
    <row r="2" spans="1:7" ht="12.75" customHeight="1">
      <c r="A2" s="10" t="s">
        <v>34</v>
      </c>
      <c r="B2" s="10">
        <v>100</v>
      </c>
      <c r="C2" s="11">
        <f t="shared" ref="C2:C15" si="0">PI()*(0.5^2)/4</f>
        <v>0.19634954084936207</v>
      </c>
      <c r="D2" s="10">
        <v>2.7</v>
      </c>
      <c r="E2" s="12">
        <v>-26.3</v>
      </c>
      <c r="F2" s="12">
        <v>-21.4</v>
      </c>
      <c r="G2" s="13">
        <f t="shared" ref="G2:G225" si="1">-34.28 + (E2 - -33.86 ) * ( 1+ -34.28/1000 ) / ( 1+ -33.86/1000 )</f>
        <v>-26.72328648022026</v>
      </c>
    </row>
    <row r="3" spans="1:7" ht="12.75" customHeight="1">
      <c r="B3" s="2">
        <f t="shared" ref="B3:B6" si="2">B2+50</f>
        <v>150</v>
      </c>
      <c r="C3" s="14">
        <f t="shared" si="0"/>
        <v>0.19634954084936207</v>
      </c>
      <c r="D3" s="1">
        <v>15.1</v>
      </c>
      <c r="E3" s="8">
        <v>-29</v>
      </c>
      <c r="F3" s="8">
        <v>-24</v>
      </c>
      <c r="G3" s="6">
        <f t="shared" si="1"/>
        <v>-29.422112737284451</v>
      </c>
    </row>
    <row r="4" spans="1:7" ht="12.75" customHeight="1">
      <c r="B4" s="2">
        <f t="shared" si="2"/>
        <v>200</v>
      </c>
      <c r="C4" s="14">
        <f t="shared" si="0"/>
        <v>0.19634954084936207</v>
      </c>
      <c r="D4" s="1">
        <v>7.3</v>
      </c>
      <c r="E4" s="8">
        <v>-28.8</v>
      </c>
      <c r="F4" s="8">
        <v>-24.2</v>
      </c>
      <c r="G4" s="6">
        <f t="shared" si="1"/>
        <v>-29.222199681205623</v>
      </c>
    </row>
    <row r="5" spans="1:7" ht="12.75" customHeight="1">
      <c r="B5" s="2">
        <f t="shared" si="2"/>
        <v>250</v>
      </c>
      <c r="C5" s="14">
        <f t="shared" si="0"/>
        <v>0.19634954084936207</v>
      </c>
      <c r="D5" s="1">
        <v>4.2</v>
      </c>
      <c r="E5" s="8">
        <v>-28</v>
      </c>
      <c r="F5" s="8">
        <v>-23.1</v>
      </c>
      <c r="G5" s="6">
        <f t="shared" si="1"/>
        <v>-28.422547456890307</v>
      </c>
    </row>
    <row r="6" spans="1:7" ht="12.75" customHeight="1">
      <c r="B6" s="2">
        <f t="shared" si="2"/>
        <v>300</v>
      </c>
      <c r="C6" s="14">
        <f t="shared" si="0"/>
        <v>0.19634954084936207</v>
      </c>
      <c r="D6" s="1">
        <v>4.2</v>
      </c>
      <c r="E6" s="8">
        <v>-28.7</v>
      </c>
      <c r="F6" s="8">
        <v>-23.6</v>
      </c>
      <c r="G6" s="6">
        <f t="shared" si="1"/>
        <v>-29.12224315316621</v>
      </c>
    </row>
    <row r="7" spans="1:7" ht="12.75" customHeight="1">
      <c r="B7" s="1">
        <v>340</v>
      </c>
      <c r="C7" s="14">
        <f t="shared" si="0"/>
        <v>0.19634954084936207</v>
      </c>
      <c r="D7" s="1">
        <v>4.5999999999999996</v>
      </c>
      <c r="E7" s="8">
        <v>-28.8</v>
      </c>
      <c r="F7" s="8">
        <v>-22.7</v>
      </c>
      <c r="G7" s="6">
        <f t="shared" si="1"/>
        <v>-29.222199681205623</v>
      </c>
    </row>
    <row r="8" spans="1:7" ht="12.75" customHeight="1">
      <c r="B8" s="1">
        <v>390</v>
      </c>
      <c r="C8" s="14">
        <f t="shared" si="0"/>
        <v>0.19634954084936207</v>
      </c>
      <c r="D8" s="1">
        <v>5.3</v>
      </c>
      <c r="E8" s="8">
        <v>-28.9</v>
      </c>
      <c r="F8" s="8">
        <v>-23.2</v>
      </c>
      <c r="G8" s="6">
        <f t="shared" si="1"/>
        <v>-29.322156209245037</v>
      </c>
    </row>
    <row r="9" spans="1:7" ht="12.75" customHeight="1">
      <c r="A9" s="1" t="s">
        <v>40</v>
      </c>
      <c r="B9" s="1">
        <v>100</v>
      </c>
      <c r="C9" s="14">
        <f t="shared" si="0"/>
        <v>0.19634954084936207</v>
      </c>
      <c r="D9" s="1">
        <v>4.4000000000000004</v>
      </c>
      <c r="E9" s="8">
        <v>-27</v>
      </c>
      <c r="F9" s="8">
        <v>-19.2</v>
      </c>
      <c r="G9" s="6">
        <f t="shared" si="1"/>
        <v>-27.422982176496163</v>
      </c>
    </row>
    <row r="10" spans="1:7" ht="12.75" customHeight="1">
      <c r="B10" s="2">
        <f t="shared" ref="B10:B13" si="3">B9+50</f>
        <v>150</v>
      </c>
      <c r="C10" s="14">
        <f t="shared" si="0"/>
        <v>0.19634954084936207</v>
      </c>
      <c r="D10" s="1">
        <v>18.8</v>
      </c>
      <c r="E10" s="8">
        <v>-28.9</v>
      </c>
      <c r="F10" s="8">
        <v>-22</v>
      </c>
      <c r="G10" s="6">
        <f t="shared" si="1"/>
        <v>-29.322156209245037</v>
      </c>
    </row>
    <row r="11" spans="1:7" ht="12.75" customHeight="1">
      <c r="B11" s="2">
        <f t="shared" si="3"/>
        <v>200</v>
      </c>
      <c r="C11" s="14">
        <f t="shared" si="0"/>
        <v>0.19634954084936207</v>
      </c>
      <c r="D11" s="1">
        <v>7.7</v>
      </c>
      <c r="E11" s="8">
        <v>-28.8</v>
      </c>
      <c r="F11" s="8">
        <v>-23.4</v>
      </c>
      <c r="G11" s="6">
        <f t="shared" si="1"/>
        <v>-29.222199681205623</v>
      </c>
    </row>
    <row r="12" spans="1:7" ht="12.75" customHeight="1">
      <c r="B12" s="2">
        <f t="shared" si="3"/>
        <v>250</v>
      </c>
      <c r="C12" s="14">
        <f t="shared" si="0"/>
        <v>0.19634954084936207</v>
      </c>
      <c r="D12" s="1">
        <v>4.2</v>
      </c>
      <c r="E12" s="8">
        <v>-28.6</v>
      </c>
      <c r="F12" s="8">
        <v>-24.1</v>
      </c>
      <c r="G12" s="6">
        <f t="shared" si="1"/>
        <v>-29.022286625126796</v>
      </c>
    </row>
    <row r="13" spans="1:7" ht="12.75" customHeight="1">
      <c r="B13" s="2">
        <f t="shared" si="3"/>
        <v>300</v>
      </c>
      <c r="C13" s="14">
        <f t="shared" si="0"/>
        <v>0.19634954084936207</v>
      </c>
      <c r="D13" s="1">
        <v>3.8</v>
      </c>
      <c r="E13" s="8">
        <v>-28.5</v>
      </c>
      <c r="F13" s="8">
        <v>-25.1</v>
      </c>
      <c r="G13" s="6">
        <f t="shared" si="1"/>
        <v>-28.922330097087382</v>
      </c>
    </row>
    <row r="14" spans="1:7" ht="12.75" customHeight="1">
      <c r="B14" s="1">
        <v>340</v>
      </c>
      <c r="C14" s="14">
        <f t="shared" si="0"/>
        <v>0.19634954084936207</v>
      </c>
      <c r="D14" s="1">
        <v>4.0999999999999996</v>
      </c>
      <c r="E14" s="8">
        <v>-28.7</v>
      </c>
      <c r="F14" s="8">
        <v>-25.8</v>
      </c>
      <c r="G14" s="6">
        <f t="shared" si="1"/>
        <v>-29.12224315316621</v>
      </c>
    </row>
    <row r="15" spans="1:7" ht="12.75" customHeight="1">
      <c r="B15" s="1">
        <v>390</v>
      </c>
      <c r="C15" s="14">
        <f t="shared" si="0"/>
        <v>0.19634954084936207</v>
      </c>
      <c r="D15" s="1">
        <v>4.5999999999999996</v>
      </c>
      <c r="E15" s="8">
        <v>-28.4</v>
      </c>
      <c r="F15" s="8">
        <v>-26.7</v>
      </c>
      <c r="G15" s="6">
        <f t="shared" si="1"/>
        <v>-28.822373569047965</v>
      </c>
    </row>
    <row r="16" spans="1:7" ht="12.75" customHeight="1">
      <c r="A16" s="1" t="s">
        <v>51</v>
      </c>
      <c r="B16" s="1">
        <v>100</v>
      </c>
      <c r="C16" s="14">
        <f t="shared" ref="C16:C29" si="4">PI()*(1^2)/4</f>
        <v>0.78539816339744828</v>
      </c>
      <c r="D16" s="1">
        <v>0.2</v>
      </c>
      <c r="E16" s="8">
        <v>-21.8</v>
      </c>
      <c r="F16" s="8">
        <v>-14.5</v>
      </c>
      <c r="G16" s="6">
        <f t="shared" si="1"/>
        <v>-22.225242718446605</v>
      </c>
    </row>
    <row r="17" spans="1:7" ht="12.75" customHeight="1">
      <c r="B17" s="2">
        <f t="shared" ref="B17:B20" si="5">B16+50</f>
        <v>150</v>
      </c>
      <c r="C17" s="14">
        <f t="shared" si="4"/>
        <v>0.78539816339744828</v>
      </c>
      <c r="D17" s="1">
        <v>0.2</v>
      </c>
      <c r="E17" s="8">
        <v>-21.8</v>
      </c>
      <c r="F17" s="8">
        <v>-17.399999999999999</v>
      </c>
      <c r="G17" s="6">
        <f t="shared" si="1"/>
        <v>-22.225242718446605</v>
      </c>
    </row>
    <row r="18" spans="1:7" ht="12.75" customHeight="1">
      <c r="B18" s="2">
        <f t="shared" si="5"/>
        <v>200</v>
      </c>
      <c r="C18" s="14">
        <f t="shared" si="4"/>
        <v>0.78539816339744828</v>
      </c>
      <c r="D18" s="1">
        <v>0.4</v>
      </c>
      <c r="E18" s="8">
        <v>-25.1</v>
      </c>
      <c r="F18" s="8">
        <v>-19.5</v>
      </c>
      <c r="G18" s="6">
        <f t="shared" si="1"/>
        <v>-25.523808143747285</v>
      </c>
    </row>
    <row r="19" spans="1:7" ht="12.75" customHeight="1">
      <c r="B19" s="2">
        <f t="shared" si="5"/>
        <v>250</v>
      </c>
      <c r="C19" s="14">
        <f t="shared" si="4"/>
        <v>0.78539816339744828</v>
      </c>
      <c r="D19" s="1">
        <v>0.5</v>
      </c>
      <c r="E19" s="8">
        <v>-25.9</v>
      </c>
      <c r="F19" s="8">
        <v>-21.8</v>
      </c>
      <c r="G19" s="6">
        <f t="shared" si="1"/>
        <v>-26.323460368062598</v>
      </c>
    </row>
    <row r="20" spans="1:7" ht="12.75" customHeight="1">
      <c r="B20" s="2">
        <f t="shared" si="5"/>
        <v>300</v>
      </c>
      <c r="C20" s="14">
        <f t="shared" si="4"/>
        <v>0.78539816339744828</v>
      </c>
      <c r="D20" s="1">
        <v>0.5</v>
      </c>
      <c r="E20" s="8">
        <v>-25.9</v>
      </c>
      <c r="F20" s="8">
        <v>-22</v>
      </c>
      <c r="G20" s="6">
        <f t="shared" si="1"/>
        <v>-26.323460368062598</v>
      </c>
    </row>
    <row r="21" spans="1:7" ht="12.75" customHeight="1">
      <c r="B21" s="1">
        <v>340</v>
      </c>
      <c r="C21" s="14">
        <f t="shared" si="4"/>
        <v>0.78539816339744828</v>
      </c>
      <c r="D21" s="1">
        <v>0.9</v>
      </c>
      <c r="E21" s="8">
        <v>-24.8</v>
      </c>
      <c r="F21" s="8">
        <v>-23.6</v>
      </c>
      <c r="G21" s="6">
        <f t="shared" si="1"/>
        <v>-25.22393855962904</v>
      </c>
    </row>
    <row r="22" spans="1:7" ht="12.75" customHeight="1">
      <c r="B22" s="1">
        <v>390</v>
      </c>
      <c r="C22" s="14">
        <f t="shared" si="4"/>
        <v>0.78539816339744828</v>
      </c>
      <c r="D22" s="1">
        <v>0.8</v>
      </c>
      <c r="E22" s="8">
        <v>-25</v>
      </c>
      <c r="F22" s="8">
        <v>-23.6</v>
      </c>
      <c r="G22" s="6">
        <f t="shared" si="1"/>
        <v>-25.423851615707868</v>
      </c>
    </row>
    <row r="23" spans="1:7" ht="12.75" customHeight="1">
      <c r="A23" s="1" t="s">
        <v>52</v>
      </c>
      <c r="B23" s="1">
        <v>100</v>
      </c>
      <c r="C23" s="14">
        <f t="shared" si="4"/>
        <v>0.78539816339744828</v>
      </c>
      <c r="D23" s="1">
        <v>0.2</v>
      </c>
      <c r="E23" s="8">
        <v>-19.399999999999999</v>
      </c>
      <c r="F23" s="8">
        <v>-17</v>
      </c>
      <c r="G23" s="6">
        <f t="shared" si="1"/>
        <v>-19.826286045500652</v>
      </c>
    </row>
    <row r="24" spans="1:7" ht="12.75" customHeight="1">
      <c r="B24" s="2">
        <f t="shared" ref="B24:B27" si="6">B23+50</f>
        <v>150</v>
      </c>
      <c r="C24" s="14">
        <f t="shared" si="4"/>
        <v>0.78539816339744828</v>
      </c>
      <c r="D24" s="1">
        <v>0.2</v>
      </c>
      <c r="E24" s="8">
        <v>-22.2</v>
      </c>
      <c r="F24" s="8">
        <v>-19.600000000000001</v>
      </c>
      <c r="G24" s="6">
        <f t="shared" si="1"/>
        <v>-22.625068830604263</v>
      </c>
    </row>
    <row r="25" spans="1:7" ht="12.75" customHeight="1">
      <c r="B25" s="2">
        <f t="shared" si="6"/>
        <v>200</v>
      </c>
      <c r="C25" s="14">
        <f t="shared" si="4"/>
        <v>0.78539816339744828</v>
      </c>
      <c r="D25" s="1">
        <v>0.3</v>
      </c>
      <c r="E25" s="8">
        <v>-23.5</v>
      </c>
      <c r="F25" s="8">
        <v>-21.2</v>
      </c>
      <c r="G25" s="6">
        <f t="shared" si="1"/>
        <v>-23.924503695116648</v>
      </c>
    </row>
    <row r="26" spans="1:7" ht="12.75" customHeight="1">
      <c r="B26" s="2">
        <f t="shared" si="6"/>
        <v>250</v>
      </c>
      <c r="C26" s="14">
        <f t="shared" si="4"/>
        <v>0.78539816339744828</v>
      </c>
      <c r="D26" s="1">
        <v>0.4</v>
      </c>
      <c r="E26" s="8">
        <v>-25</v>
      </c>
      <c r="F26" s="8">
        <v>-20.5</v>
      </c>
      <c r="G26" s="6">
        <f t="shared" si="1"/>
        <v>-25.423851615707868</v>
      </c>
    </row>
    <row r="27" spans="1:7" ht="12.75" customHeight="1">
      <c r="B27" s="2">
        <f t="shared" si="6"/>
        <v>300</v>
      </c>
      <c r="C27" s="14">
        <f t="shared" si="4"/>
        <v>0.78539816339744828</v>
      </c>
      <c r="D27" s="1">
        <v>0.4</v>
      </c>
      <c r="E27" s="8">
        <v>-25.5</v>
      </c>
      <c r="F27" s="8">
        <v>-23.4</v>
      </c>
      <c r="G27" s="6">
        <f t="shared" si="1"/>
        <v>-25.923634255904943</v>
      </c>
    </row>
    <row r="28" spans="1:7" ht="12.75" customHeight="1">
      <c r="B28" s="1">
        <v>340</v>
      </c>
      <c r="C28" s="14">
        <f t="shared" si="4"/>
        <v>0.78539816339744828</v>
      </c>
      <c r="D28" s="1">
        <v>0.7</v>
      </c>
      <c r="E28" s="8">
        <v>-26.1</v>
      </c>
      <c r="F28" s="8">
        <v>-23.1</v>
      </c>
      <c r="G28" s="6">
        <f t="shared" si="1"/>
        <v>-26.523373424141433</v>
      </c>
    </row>
    <row r="29" spans="1:7" ht="12.75" customHeight="1">
      <c r="B29" s="1">
        <v>390</v>
      </c>
      <c r="C29" s="14">
        <f t="shared" si="4"/>
        <v>0.78539816339744828</v>
      </c>
      <c r="D29" s="1">
        <v>0.8</v>
      </c>
      <c r="E29" s="8">
        <v>-21.1</v>
      </c>
      <c r="F29" s="8">
        <v>-16.399999999999999</v>
      </c>
      <c r="G29" s="6">
        <f t="shared" si="1"/>
        <v>-21.525547022170702</v>
      </c>
    </row>
    <row r="30" spans="1:7" ht="12.75" customHeight="1">
      <c r="A30" s="1" t="s">
        <v>53</v>
      </c>
      <c r="B30" s="1">
        <v>100</v>
      </c>
      <c r="C30" s="14">
        <f t="shared" ref="C30:C43" si="7">PI()*(1^2)/4 *2</f>
        <v>1.5707963267948966</v>
      </c>
      <c r="D30" s="1">
        <v>0.2</v>
      </c>
      <c r="E30" s="8">
        <v>-23.3</v>
      </c>
      <c r="F30" s="8">
        <v>-14.9</v>
      </c>
      <c r="G30" s="6">
        <f t="shared" si="1"/>
        <v>-23.724590639037821</v>
      </c>
    </row>
    <row r="31" spans="1:7" ht="12.75" customHeight="1">
      <c r="B31" s="2">
        <f t="shared" ref="B31:B34" si="8">B30+50</f>
        <v>150</v>
      </c>
      <c r="C31" s="14">
        <f t="shared" si="7"/>
        <v>1.5707963267948966</v>
      </c>
      <c r="D31" s="1">
        <v>0.2</v>
      </c>
      <c r="E31" s="8">
        <v>-24.6</v>
      </c>
      <c r="F31" s="8">
        <v>-17.899999999999999</v>
      </c>
      <c r="G31" s="6">
        <f t="shared" si="1"/>
        <v>-25.024025503550213</v>
      </c>
    </row>
    <row r="32" spans="1:7" ht="12.75" customHeight="1">
      <c r="B32" s="2">
        <f t="shared" si="8"/>
        <v>200</v>
      </c>
      <c r="C32" s="14">
        <f t="shared" si="7"/>
        <v>1.5707963267948966</v>
      </c>
      <c r="D32" s="1">
        <v>0.2</v>
      </c>
      <c r="E32" s="8">
        <v>-24.3</v>
      </c>
      <c r="F32" s="8">
        <v>-18.3</v>
      </c>
      <c r="G32" s="6">
        <f t="shared" si="1"/>
        <v>-24.724155919431968</v>
      </c>
    </row>
    <row r="33" spans="1:7" ht="12.75" customHeight="1">
      <c r="B33" s="2">
        <f t="shared" si="8"/>
        <v>250</v>
      </c>
      <c r="C33" s="14">
        <f t="shared" si="7"/>
        <v>1.5707963267948966</v>
      </c>
      <c r="D33" s="1">
        <v>0.4</v>
      </c>
      <c r="E33" s="8">
        <v>-28.1</v>
      </c>
      <c r="F33" s="8">
        <v>-21</v>
      </c>
      <c r="G33" s="6">
        <f t="shared" si="1"/>
        <v>-28.522503984929724</v>
      </c>
    </row>
    <row r="34" spans="1:7" ht="12.75" customHeight="1">
      <c r="B34" s="2">
        <f t="shared" si="8"/>
        <v>300</v>
      </c>
      <c r="C34" s="14">
        <f t="shared" si="7"/>
        <v>1.5707963267948966</v>
      </c>
      <c r="D34" s="1">
        <v>0.5</v>
      </c>
      <c r="E34" s="8">
        <v>-28.4</v>
      </c>
      <c r="F34" s="8">
        <v>-22.2</v>
      </c>
      <c r="G34" s="6">
        <f t="shared" si="1"/>
        <v>-28.822373569047965</v>
      </c>
    </row>
    <row r="35" spans="1:7" ht="12.75" customHeight="1">
      <c r="B35" s="1">
        <v>340</v>
      </c>
      <c r="C35" s="14">
        <f t="shared" si="7"/>
        <v>1.5707963267948966</v>
      </c>
      <c r="D35" s="1">
        <v>0.5</v>
      </c>
      <c r="E35" s="8">
        <v>-28.7</v>
      </c>
      <c r="F35" s="8">
        <v>-24.1</v>
      </c>
      <c r="G35" s="6">
        <f t="shared" si="1"/>
        <v>-29.12224315316621</v>
      </c>
    </row>
    <row r="36" spans="1:7" ht="12.75" customHeight="1">
      <c r="B36" s="1">
        <v>390</v>
      </c>
      <c r="C36" s="14">
        <f t="shared" si="7"/>
        <v>1.5707963267948966</v>
      </c>
      <c r="D36" s="1">
        <v>0.8</v>
      </c>
      <c r="E36" s="8">
        <v>-29.8</v>
      </c>
      <c r="F36" s="8">
        <v>-25.2</v>
      </c>
      <c r="G36" s="6">
        <f t="shared" si="1"/>
        <v>-30.221764961599771</v>
      </c>
    </row>
    <row r="37" spans="1:7" ht="12.75" customHeight="1">
      <c r="A37" s="1" t="s">
        <v>55</v>
      </c>
      <c r="B37" s="1">
        <v>100</v>
      </c>
      <c r="C37" s="14">
        <f t="shared" si="7"/>
        <v>1.5707963267948966</v>
      </c>
      <c r="D37" s="1">
        <v>0.3</v>
      </c>
      <c r="E37" s="8">
        <v>-24.1</v>
      </c>
      <c r="F37" s="8">
        <v>-14.6</v>
      </c>
      <c r="G37" s="6">
        <f t="shared" si="1"/>
        <v>-24.524242863353141</v>
      </c>
    </row>
    <row r="38" spans="1:7" ht="12.75" customHeight="1">
      <c r="B38" s="2">
        <f t="shared" ref="B38:B41" si="9">B37+50</f>
        <v>150</v>
      </c>
      <c r="C38" s="14">
        <f t="shared" si="7"/>
        <v>1.5707963267948966</v>
      </c>
      <c r="D38" s="1">
        <v>0.2</v>
      </c>
      <c r="E38" s="8">
        <v>-23.6</v>
      </c>
      <c r="F38" s="8">
        <v>-17</v>
      </c>
      <c r="G38" s="6">
        <f t="shared" si="1"/>
        <v>-24.024460223156069</v>
      </c>
    </row>
    <row r="39" spans="1:7" ht="12.75" customHeight="1">
      <c r="B39" s="2">
        <f t="shared" si="9"/>
        <v>200</v>
      </c>
      <c r="C39" s="14">
        <f t="shared" si="7"/>
        <v>1.5707963267948966</v>
      </c>
      <c r="D39" s="1">
        <v>0.2</v>
      </c>
      <c r="E39" s="8">
        <v>-22.5</v>
      </c>
      <c r="F39" s="8">
        <v>-18.3</v>
      </c>
      <c r="G39" s="6">
        <f t="shared" si="1"/>
        <v>-22.924938414722504</v>
      </c>
    </row>
    <row r="40" spans="1:7" ht="12.75" customHeight="1">
      <c r="B40" s="2">
        <f t="shared" si="9"/>
        <v>250</v>
      </c>
      <c r="C40" s="14">
        <f t="shared" si="7"/>
        <v>1.5707963267948966</v>
      </c>
      <c r="D40" s="1">
        <v>0.2</v>
      </c>
      <c r="E40" s="8">
        <v>-24.4</v>
      </c>
      <c r="F40" s="8">
        <v>-20.399999999999999</v>
      </c>
      <c r="G40" s="6">
        <f t="shared" si="1"/>
        <v>-24.824112447471379</v>
      </c>
    </row>
    <row r="41" spans="1:7" ht="12.75" customHeight="1">
      <c r="B41" s="2">
        <f t="shared" si="9"/>
        <v>300</v>
      </c>
      <c r="C41" s="14">
        <f t="shared" si="7"/>
        <v>1.5707963267948966</v>
      </c>
      <c r="D41" s="1">
        <v>0.3</v>
      </c>
      <c r="E41" s="8">
        <v>-26.6</v>
      </c>
      <c r="F41" s="8">
        <v>-21.7</v>
      </c>
      <c r="G41" s="6">
        <f t="shared" si="1"/>
        <v>-27.023156064338504</v>
      </c>
    </row>
    <row r="42" spans="1:7" ht="12.75" customHeight="1">
      <c r="B42" s="1">
        <v>340</v>
      </c>
      <c r="C42" s="14">
        <f t="shared" si="7"/>
        <v>1.5707963267948966</v>
      </c>
      <c r="D42" s="1">
        <v>0.5</v>
      </c>
      <c r="E42" s="8">
        <v>-25.7</v>
      </c>
      <c r="F42" s="8">
        <v>-20.3</v>
      </c>
      <c r="G42" s="6">
        <f t="shared" si="1"/>
        <v>-26.123547311983771</v>
      </c>
    </row>
    <row r="43" spans="1:7" ht="12.75" customHeight="1">
      <c r="B43" s="1">
        <v>390</v>
      </c>
      <c r="C43" s="14">
        <f t="shared" si="7"/>
        <v>1.5707963267948966</v>
      </c>
      <c r="D43" s="1">
        <v>0.7</v>
      </c>
      <c r="E43" s="8">
        <v>-26.6</v>
      </c>
      <c r="F43" s="8">
        <v>-21.5</v>
      </c>
      <c r="G43" s="6">
        <f t="shared" si="1"/>
        <v>-27.023156064338504</v>
      </c>
    </row>
    <row r="44" spans="1:7" ht="12.75" customHeight="1">
      <c r="A44" s="1" t="s">
        <v>65</v>
      </c>
      <c r="B44" s="1">
        <v>100</v>
      </c>
      <c r="C44" s="14">
        <f t="shared" ref="C44:C57" si="10">PI()*(0.5^2)/4 *2</f>
        <v>0.39269908169872414</v>
      </c>
      <c r="D44" s="1">
        <v>0.1</v>
      </c>
      <c r="E44" s="8">
        <v>-20.3</v>
      </c>
      <c r="F44" s="8">
        <v>-14.4</v>
      </c>
      <c r="G44" s="6">
        <f t="shared" si="1"/>
        <v>-20.725894797855386</v>
      </c>
    </row>
    <row r="45" spans="1:7" ht="12.75" customHeight="1">
      <c r="B45" s="2">
        <f t="shared" ref="B45:B48" si="11">B44+50</f>
        <v>150</v>
      </c>
      <c r="C45" s="14">
        <f t="shared" si="10"/>
        <v>0.39269908169872414</v>
      </c>
      <c r="D45" s="1">
        <v>0.2</v>
      </c>
      <c r="E45" s="8">
        <v>-21.5</v>
      </c>
      <c r="F45" s="8">
        <v>-15.3</v>
      </c>
      <c r="G45" s="6">
        <f t="shared" si="1"/>
        <v>-21.92537313432836</v>
      </c>
    </row>
    <row r="46" spans="1:7" ht="12.75" customHeight="1">
      <c r="B46" s="2">
        <f t="shared" si="11"/>
        <v>200</v>
      </c>
      <c r="C46" s="14">
        <f t="shared" si="10"/>
        <v>0.39269908169872414</v>
      </c>
      <c r="D46" s="1">
        <v>0.2</v>
      </c>
      <c r="E46" s="8">
        <v>-22.8</v>
      </c>
      <c r="F46" s="8">
        <v>-19</v>
      </c>
      <c r="G46" s="6">
        <f t="shared" si="1"/>
        <v>-23.224807998840749</v>
      </c>
    </row>
    <row r="47" spans="1:7" ht="12.75" customHeight="1">
      <c r="B47" s="2">
        <f t="shared" si="11"/>
        <v>250</v>
      </c>
      <c r="C47" s="14">
        <f t="shared" si="10"/>
        <v>0.39269908169872414</v>
      </c>
      <c r="D47" s="1">
        <v>0.4</v>
      </c>
      <c r="E47" s="8">
        <v>-24.5</v>
      </c>
      <c r="F47" s="8">
        <v>-20.3</v>
      </c>
      <c r="G47" s="6">
        <f t="shared" si="1"/>
        <v>-24.924068975510799</v>
      </c>
    </row>
    <row r="48" spans="1:7" ht="12.75" customHeight="1">
      <c r="B48" s="2">
        <f t="shared" si="11"/>
        <v>300</v>
      </c>
      <c r="C48" s="14">
        <f t="shared" si="10"/>
        <v>0.39269908169872414</v>
      </c>
      <c r="D48" s="1">
        <v>0.3</v>
      </c>
      <c r="E48" s="8">
        <v>-23.9</v>
      </c>
      <c r="F48" s="8">
        <v>-23.4</v>
      </c>
      <c r="G48" s="6">
        <f t="shared" si="1"/>
        <v>-24.324329807274307</v>
      </c>
    </row>
    <row r="49" spans="1:7" ht="12.75" customHeight="1">
      <c r="B49" s="1">
        <v>340</v>
      </c>
      <c r="C49" s="14">
        <f t="shared" si="10"/>
        <v>0.39269908169872414</v>
      </c>
      <c r="D49" s="1">
        <v>0.4</v>
      </c>
      <c r="E49" s="8">
        <v>-23.8</v>
      </c>
      <c r="F49" s="8">
        <v>-23.2</v>
      </c>
      <c r="G49" s="6">
        <f t="shared" si="1"/>
        <v>-24.224373279234896</v>
      </c>
    </row>
    <row r="50" spans="1:7" ht="12.75" customHeight="1">
      <c r="B50" s="1">
        <v>390</v>
      </c>
      <c r="C50" s="14">
        <f t="shared" si="10"/>
        <v>0.39269908169872414</v>
      </c>
      <c r="D50" s="1">
        <v>0.9</v>
      </c>
      <c r="E50" s="8">
        <v>-21.8</v>
      </c>
      <c r="F50" s="8">
        <v>-24.7</v>
      </c>
      <c r="G50" s="6">
        <f t="shared" si="1"/>
        <v>-22.225242718446605</v>
      </c>
    </row>
    <row r="51" spans="1:7" ht="12.75" customHeight="1">
      <c r="A51" s="1" t="s">
        <v>69</v>
      </c>
      <c r="B51" s="1">
        <v>100</v>
      </c>
      <c r="C51" s="14">
        <f t="shared" si="10"/>
        <v>0.39269908169872414</v>
      </c>
      <c r="D51" s="1">
        <v>0.1</v>
      </c>
      <c r="E51" s="8">
        <v>-20.5</v>
      </c>
      <c r="F51" s="8">
        <v>-14.8</v>
      </c>
      <c r="G51" s="6">
        <f t="shared" si="1"/>
        <v>-20.925807853934213</v>
      </c>
    </row>
    <row r="52" spans="1:7" ht="12.75" customHeight="1">
      <c r="B52" s="2">
        <f t="shared" ref="B52:B55" si="12">B51+50</f>
        <v>150</v>
      </c>
      <c r="C52" s="14">
        <f t="shared" si="10"/>
        <v>0.39269908169872414</v>
      </c>
      <c r="D52" s="1">
        <v>0.1</v>
      </c>
      <c r="E52" s="8">
        <v>-22.3</v>
      </c>
      <c r="F52" s="8">
        <v>-19</v>
      </c>
      <c r="G52" s="6">
        <f t="shared" si="1"/>
        <v>-22.725025358643677</v>
      </c>
    </row>
    <row r="53" spans="1:7" ht="12.75" customHeight="1">
      <c r="B53" s="2">
        <f t="shared" si="12"/>
        <v>200</v>
      </c>
      <c r="C53" s="14">
        <f t="shared" si="10"/>
        <v>0.39269908169872414</v>
      </c>
      <c r="D53" s="1">
        <v>0.2</v>
      </c>
      <c r="E53" s="8">
        <v>-21.9</v>
      </c>
      <c r="F53" s="8">
        <v>-21.2</v>
      </c>
      <c r="G53" s="6">
        <f t="shared" si="1"/>
        <v>-22.325199246486015</v>
      </c>
    </row>
    <row r="54" spans="1:7" ht="12.75" customHeight="1">
      <c r="B54" s="2">
        <f t="shared" si="12"/>
        <v>250</v>
      </c>
      <c r="C54" s="14">
        <f t="shared" si="10"/>
        <v>0.39269908169872414</v>
      </c>
      <c r="D54" s="1">
        <v>0.2</v>
      </c>
      <c r="E54" s="8">
        <v>-22.8</v>
      </c>
      <c r="F54" s="8">
        <v>-19</v>
      </c>
      <c r="G54" s="6">
        <f t="shared" si="1"/>
        <v>-23.224807998840749</v>
      </c>
    </row>
    <row r="55" spans="1:7" ht="12.75" customHeight="1">
      <c r="B55" s="2">
        <f t="shared" si="12"/>
        <v>300</v>
      </c>
      <c r="C55" s="14">
        <f t="shared" si="10"/>
        <v>0.39269908169872414</v>
      </c>
      <c r="D55" s="1">
        <v>0.2</v>
      </c>
      <c r="E55" s="8">
        <v>-24.1</v>
      </c>
      <c r="F55" s="8">
        <v>-21.3</v>
      </c>
      <c r="G55" s="6">
        <f t="shared" si="1"/>
        <v>-24.524242863353141</v>
      </c>
    </row>
    <row r="56" spans="1:7" ht="12.75" customHeight="1">
      <c r="B56" s="1">
        <v>340</v>
      </c>
      <c r="C56" s="14">
        <f t="shared" si="10"/>
        <v>0.39269908169872414</v>
      </c>
      <c r="D56" s="1">
        <v>0.3</v>
      </c>
      <c r="E56" s="8">
        <v>-24.4</v>
      </c>
      <c r="F56" s="8">
        <v>-23.3</v>
      </c>
      <c r="G56" s="6">
        <f t="shared" si="1"/>
        <v>-24.824112447471379</v>
      </c>
    </row>
    <row r="57" spans="1:7" ht="12.75" customHeight="1">
      <c r="B57" s="1">
        <v>390</v>
      </c>
      <c r="C57" s="14">
        <f t="shared" si="10"/>
        <v>0.39269908169872414</v>
      </c>
      <c r="D57" s="1">
        <v>0.4</v>
      </c>
      <c r="E57" s="8">
        <v>-24.4</v>
      </c>
      <c r="F57" s="8">
        <v>-22.5</v>
      </c>
      <c r="G57" s="6">
        <f t="shared" si="1"/>
        <v>-24.824112447471379</v>
      </c>
    </row>
    <row r="58" spans="1:7" ht="12.75" customHeight="1">
      <c r="A58" s="1" t="s">
        <v>77</v>
      </c>
      <c r="B58" s="1">
        <v>100</v>
      </c>
      <c r="C58" s="14">
        <f t="shared" ref="C58:C71" si="13">PI()*(1^2)/4 *2</f>
        <v>1.5707963267948966</v>
      </c>
      <c r="D58" s="1">
        <v>0.3</v>
      </c>
      <c r="E58" s="8">
        <v>-24.4</v>
      </c>
      <c r="F58" s="8">
        <v>-17.5</v>
      </c>
      <c r="G58" s="6">
        <f t="shared" si="1"/>
        <v>-24.824112447471379</v>
      </c>
    </row>
    <row r="59" spans="1:7" ht="12.75" customHeight="1">
      <c r="B59" s="2">
        <f t="shared" ref="B59:B62" si="14">B58+50</f>
        <v>150</v>
      </c>
      <c r="C59" s="14">
        <f t="shared" si="13"/>
        <v>1.5707963267948966</v>
      </c>
      <c r="D59" s="1">
        <v>0.3</v>
      </c>
      <c r="E59" s="8">
        <v>-24</v>
      </c>
      <c r="F59" s="8">
        <v>-19.5</v>
      </c>
      <c r="G59" s="6">
        <f t="shared" si="1"/>
        <v>-24.424286335313724</v>
      </c>
    </row>
    <row r="60" spans="1:7" ht="12.75" customHeight="1">
      <c r="B60" s="2">
        <f t="shared" si="14"/>
        <v>200</v>
      </c>
      <c r="C60" s="14">
        <f t="shared" si="13"/>
        <v>1.5707963267948966</v>
      </c>
      <c r="D60" s="1">
        <v>0.2</v>
      </c>
      <c r="E60" s="8">
        <v>-24.3</v>
      </c>
      <c r="F60" s="8">
        <v>-22.2</v>
      </c>
      <c r="G60" s="6">
        <f t="shared" si="1"/>
        <v>-24.724155919431968</v>
      </c>
    </row>
    <row r="61" spans="1:7" ht="12.75" customHeight="1">
      <c r="B61" s="2">
        <f t="shared" si="14"/>
        <v>250</v>
      </c>
      <c r="C61" s="14">
        <f t="shared" si="13"/>
        <v>1.5707963267948966</v>
      </c>
      <c r="D61" s="1">
        <v>0.4</v>
      </c>
      <c r="E61" s="8">
        <v>-23.9</v>
      </c>
      <c r="F61" s="8">
        <v>-22.3</v>
      </c>
      <c r="G61" s="6">
        <f t="shared" si="1"/>
        <v>-24.324329807274307</v>
      </c>
    </row>
    <row r="62" spans="1:7" ht="12.75" customHeight="1">
      <c r="B62" s="2">
        <f t="shared" si="14"/>
        <v>300</v>
      </c>
      <c r="C62" s="14">
        <f t="shared" si="13"/>
        <v>1.5707963267948966</v>
      </c>
      <c r="D62" s="1">
        <v>0.3</v>
      </c>
      <c r="E62" s="8">
        <v>-24.3</v>
      </c>
      <c r="F62" s="8">
        <v>-22.6</v>
      </c>
      <c r="G62" s="6">
        <f t="shared" si="1"/>
        <v>-24.724155919431968</v>
      </c>
    </row>
    <row r="63" spans="1:7" ht="12.75" customHeight="1">
      <c r="B63" s="1">
        <v>340</v>
      </c>
      <c r="C63" s="14">
        <f t="shared" si="13"/>
        <v>1.5707963267948966</v>
      </c>
      <c r="D63" s="1">
        <v>0.4</v>
      </c>
      <c r="E63" s="8">
        <v>-23.7</v>
      </c>
      <c r="F63" s="8">
        <v>-25.4</v>
      </c>
      <c r="G63" s="6">
        <f t="shared" si="1"/>
        <v>-24.124416751195479</v>
      </c>
    </row>
    <row r="64" spans="1:7" ht="12.75" customHeight="1">
      <c r="B64" s="1">
        <v>390</v>
      </c>
      <c r="C64" s="14">
        <f t="shared" si="13"/>
        <v>1.5707963267948966</v>
      </c>
      <c r="D64" s="1">
        <v>0.7</v>
      </c>
      <c r="E64" s="8">
        <v>-25.5</v>
      </c>
      <c r="F64" s="8">
        <v>-25.6</v>
      </c>
      <c r="G64" s="6">
        <f t="shared" si="1"/>
        <v>-25.923634255904943</v>
      </c>
    </row>
    <row r="65" spans="1:7" ht="12.75" customHeight="1">
      <c r="A65" s="1" t="s">
        <v>78</v>
      </c>
      <c r="B65" s="1">
        <v>100</v>
      </c>
      <c r="C65" s="14">
        <f t="shared" si="13"/>
        <v>1.5707963267948966</v>
      </c>
      <c r="D65" s="1">
        <v>0.2</v>
      </c>
      <c r="E65" s="8">
        <v>-20.100000000000001</v>
      </c>
      <c r="F65" s="8">
        <v>-16.5</v>
      </c>
      <c r="G65" s="6">
        <f t="shared" si="1"/>
        <v>-20.525981741776555</v>
      </c>
    </row>
    <row r="66" spans="1:7" ht="12.75" customHeight="1">
      <c r="B66" s="2">
        <f t="shared" ref="B66:B69" si="15">B65+50</f>
        <v>150</v>
      </c>
      <c r="C66" s="14">
        <f t="shared" si="13"/>
        <v>1.5707963267948966</v>
      </c>
      <c r="D66" s="1">
        <v>0.3</v>
      </c>
      <c r="E66" s="8">
        <v>-24.5</v>
      </c>
      <c r="F66" s="8">
        <v>-17.5</v>
      </c>
      <c r="G66" s="6">
        <f t="shared" si="1"/>
        <v>-24.924068975510799</v>
      </c>
    </row>
    <row r="67" spans="1:7" ht="12.75" customHeight="1">
      <c r="B67" s="2">
        <f t="shared" si="15"/>
        <v>200</v>
      </c>
      <c r="C67" s="14">
        <f t="shared" si="13"/>
        <v>1.5707963267948966</v>
      </c>
      <c r="D67" s="1">
        <v>0.3</v>
      </c>
      <c r="E67" s="8">
        <v>-20.399999999999999</v>
      </c>
      <c r="F67" s="8">
        <v>-16.8</v>
      </c>
      <c r="G67" s="6">
        <f t="shared" si="1"/>
        <v>-20.825851325894796</v>
      </c>
    </row>
    <row r="68" spans="1:7" ht="12.75" customHeight="1">
      <c r="B68" s="2">
        <f t="shared" si="15"/>
        <v>250</v>
      </c>
      <c r="C68" s="14">
        <f t="shared" si="13"/>
        <v>1.5707963267948966</v>
      </c>
      <c r="D68" s="1">
        <v>0.5</v>
      </c>
      <c r="E68" s="8">
        <v>-23.9</v>
      </c>
      <c r="F68" s="8">
        <v>-19.7</v>
      </c>
      <c r="G68" s="6">
        <f t="shared" si="1"/>
        <v>-24.324329807274307</v>
      </c>
    </row>
    <row r="69" spans="1:7" ht="12.75" customHeight="1">
      <c r="B69" s="2">
        <f t="shared" si="15"/>
        <v>300</v>
      </c>
      <c r="C69" s="14">
        <f t="shared" si="13"/>
        <v>1.5707963267948966</v>
      </c>
      <c r="D69" s="1">
        <v>0.3</v>
      </c>
      <c r="E69" s="8">
        <v>-24</v>
      </c>
      <c r="F69" s="8">
        <v>-21.9</v>
      </c>
      <c r="G69" s="6">
        <f t="shared" si="1"/>
        <v>-24.424286335313724</v>
      </c>
    </row>
    <row r="70" spans="1:7" ht="12.75" customHeight="1">
      <c r="B70" s="1">
        <v>340</v>
      </c>
      <c r="C70" s="14">
        <f t="shared" si="13"/>
        <v>1.5707963267948966</v>
      </c>
      <c r="D70" s="1">
        <v>0.4</v>
      </c>
      <c r="E70" s="8">
        <v>-23.4</v>
      </c>
      <c r="F70" s="8">
        <v>-21.3</v>
      </c>
      <c r="G70" s="6">
        <f t="shared" si="1"/>
        <v>-23.824547167077235</v>
      </c>
    </row>
    <row r="71" spans="1:7" ht="12.75" customHeight="1">
      <c r="B71" s="1">
        <v>390</v>
      </c>
      <c r="C71" s="14">
        <f t="shared" si="13"/>
        <v>1.5707963267948966</v>
      </c>
      <c r="D71" s="1">
        <v>0.5</v>
      </c>
      <c r="E71" s="8">
        <v>-24.1</v>
      </c>
      <c r="F71" s="8">
        <v>-21.6</v>
      </c>
      <c r="G71" s="6">
        <f t="shared" si="1"/>
        <v>-24.524242863353141</v>
      </c>
    </row>
    <row r="72" spans="1:7" ht="12.75" customHeight="1">
      <c r="A72" s="1" t="s">
        <v>79</v>
      </c>
      <c r="B72" s="1">
        <v>100</v>
      </c>
      <c r="C72" s="14">
        <f t="shared" ref="C72:C92" si="16">PI()*(1^2)/4</f>
        <v>0.78539816339744828</v>
      </c>
      <c r="D72" s="1">
        <v>0.2</v>
      </c>
      <c r="E72" s="8">
        <v>-19.2</v>
      </c>
      <c r="F72" s="8">
        <v>-15.5</v>
      </c>
      <c r="G72" s="6">
        <f t="shared" si="1"/>
        <v>-19.626372989421824</v>
      </c>
    </row>
    <row r="73" spans="1:7" ht="12.75" customHeight="1">
      <c r="B73" s="2">
        <f t="shared" ref="B73:B76" si="17">B72+50</f>
        <v>150</v>
      </c>
      <c r="C73" s="14">
        <f t="shared" si="16"/>
        <v>0.78539816339744828</v>
      </c>
      <c r="D73" s="1">
        <v>0.2</v>
      </c>
      <c r="E73" s="8">
        <v>-20.3</v>
      </c>
      <c r="F73" s="8">
        <v>-16</v>
      </c>
      <c r="G73" s="6">
        <f t="shared" si="1"/>
        <v>-20.725894797855386</v>
      </c>
    </row>
    <row r="74" spans="1:7" ht="12.75" customHeight="1">
      <c r="B74" s="2">
        <f t="shared" si="17"/>
        <v>200</v>
      </c>
      <c r="C74" s="14">
        <f t="shared" si="16"/>
        <v>0.78539816339744828</v>
      </c>
      <c r="D74" s="1">
        <v>0.2</v>
      </c>
      <c r="E74" s="8">
        <v>-20.7</v>
      </c>
      <c r="F74" s="8">
        <v>-16.100000000000001</v>
      </c>
      <c r="G74" s="6">
        <f t="shared" si="1"/>
        <v>-21.125720910013044</v>
      </c>
    </row>
    <row r="75" spans="1:7" ht="12.75" customHeight="1">
      <c r="B75" s="2">
        <f t="shared" si="17"/>
        <v>250</v>
      </c>
      <c r="C75" s="14">
        <f t="shared" si="16"/>
        <v>0.78539816339744828</v>
      </c>
      <c r="D75" s="1">
        <v>0.3</v>
      </c>
      <c r="E75" s="8">
        <v>-23.3</v>
      </c>
      <c r="F75" s="8">
        <v>-17.600000000000001</v>
      </c>
      <c r="G75" s="6">
        <f t="shared" si="1"/>
        <v>-23.724590639037821</v>
      </c>
    </row>
    <row r="76" spans="1:7" ht="12.75" customHeight="1">
      <c r="B76" s="2">
        <f t="shared" si="17"/>
        <v>300</v>
      </c>
      <c r="C76" s="14">
        <f t="shared" si="16"/>
        <v>0.78539816339744828</v>
      </c>
      <c r="D76" s="1">
        <v>0.3</v>
      </c>
      <c r="E76" s="8">
        <v>-23.4</v>
      </c>
      <c r="F76" s="8">
        <v>-17.8</v>
      </c>
      <c r="G76" s="6">
        <f t="shared" si="1"/>
        <v>-23.824547167077235</v>
      </c>
    </row>
    <row r="77" spans="1:7" ht="12.75" customHeight="1">
      <c r="B77" s="1">
        <v>340</v>
      </c>
      <c r="C77" s="14">
        <f t="shared" si="16"/>
        <v>0.78539816339744828</v>
      </c>
      <c r="D77" s="1">
        <v>0.4</v>
      </c>
      <c r="E77" s="8">
        <v>-23.1</v>
      </c>
      <c r="F77" s="8">
        <v>-19.899999999999999</v>
      </c>
      <c r="G77" s="6">
        <f t="shared" si="1"/>
        <v>-23.524677582958994</v>
      </c>
    </row>
    <row r="78" spans="1:7" ht="12.75" customHeight="1">
      <c r="B78" s="1">
        <v>390</v>
      </c>
      <c r="C78" s="14">
        <f t="shared" si="16"/>
        <v>0.78539816339744828</v>
      </c>
      <c r="D78" s="1">
        <v>0.5</v>
      </c>
      <c r="E78" s="8">
        <v>-25.2</v>
      </c>
      <c r="F78" s="8">
        <v>-20.7</v>
      </c>
      <c r="G78" s="6">
        <f t="shared" si="1"/>
        <v>-25.623764671786699</v>
      </c>
    </row>
    <row r="79" spans="1:7" ht="12.75" customHeight="1">
      <c r="A79" s="1" t="s">
        <v>80</v>
      </c>
      <c r="B79" s="1">
        <v>100</v>
      </c>
      <c r="C79" s="14">
        <f t="shared" si="16"/>
        <v>0.78539816339744828</v>
      </c>
      <c r="D79" s="29">
        <v>0.2</v>
      </c>
      <c r="E79" s="8">
        <v>-19.600000000000001</v>
      </c>
      <c r="F79" s="8">
        <v>-15.2</v>
      </c>
      <c r="G79" s="6">
        <f t="shared" si="1"/>
        <v>-20.026199101579483</v>
      </c>
    </row>
    <row r="80" spans="1:7" ht="12.75" customHeight="1">
      <c r="B80" s="2">
        <f t="shared" ref="B80:B83" si="18">B79+50</f>
        <v>150</v>
      </c>
      <c r="C80" s="14">
        <f t="shared" si="16"/>
        <v>0.78539816339744828</v>
      </c>
      <c r="D80" s="1">
        <v>0.3</v>
      </c>
      <c r="E80" s="8">
        <v>-21.4</v>
      </c>
      <c r="F80" s="8">
        <v>-16.600000000000001</v>
      </c>
      <c r="G80" s="6">
        <f t="shared" si="1"/>
        <v>-21.825416606288943</v>
      </c>
    </row>
    <row r="81" spans="1:7" ht="12.75" customHeight="1">
      <c r="B81" s="2">
        <f t="shared" si="18"/>
        <v>200</v>
      </c>
      <c r="C81" s="14">
        <f t="shared" si="16"/>
        <v>0.78539816339744828</v>
      </c>
      <c r="D81" s="1">
        <v>0.3</v>
      </c>
      <c r="E81" s="8">
        <v>-21.5</v>
      </c>
      <c r="F81" s="8">
        <v>-16.899999999999999</v>
      </c>
      <c r="G81" s="6">
        <f t="shared" si="1"/>
        <v>-21.92537313432836</v>
      </c>
    </row>
    <row r="82" spans="1:7" ht="12.75" customHeight="1">
      <c r="B82" s="2">
        <f t="shared" si="18"/>
        <v>250</v>
      </c>
      <c r="C82" s="14">
        <f t="shared" si="16"/>
        <v>0.78539816339744828</v>
      </c>
      <c r="D82" s="1">
        <v>0.4</v>
      </c>
      <c r="E82" s="8">
        <v>-24.1</v>
      </c>
      <c r="F82" s="8">
        <v>-19.3</v>
      </c>
      <c r="G82" s="6">
        <f t="shared" si="1"/>
        <v>-24.524242863353141</v>
      </c>
    </row>
    <row r="83" spans="1:7" ht="12.75" customHeight="1">
      <c r="B83" s="2">
        <f t="shared" si="18"/>
        <v>300</v>
      </c>
      <c r="C83" s="14">
        <f t="shared" si="16"/>
        <v>0.78539816339744828</v>
      </c>
      <c r="D83" s="1">
        <v>0.4</v>
      </c>
      <c r="E83" s="8">
        <v>-25.4</v>
      </c>
      <c r="F83" s="8">
        <v>-20.100000000000001</v>
      </c>
      <c r="G83" s="6">
        <f t="shared" si="1"/>
        <v>-25.823677727865526</v>
      </c>
    </row>
    <row r="84" spans="1:7" ht="12.75" customHeight="1">
      <c r="B84" s="1">
        <v>340</v>
      </c>
      <c r="C84" s="14">
        <f t="shared" si="16"/>
        <v>0.78539816339744828</v>
      </c>
      <c r="D84" s="1">
        <v>0.5</v>
      </c>
      <c r="E84" s="8">
        <v>-25.7</v>
      </c>
      <c r="F84" s="8">
        <v>-20.6</v>
      </c>
      <c r="G84" s="6">
        <f t="shared" si="1"/>
        <v>-26.123547311983771</v>
      </c>
    </row>
    <row r="85" spans="1:7" ht="12.75" customHeight="1">
      <c r="B85" s="1">
        <v>390</v>
      </c>
      <c r="C85" s="14">
        <f t="shared" si="16"/>
        <v>0.78539816339744828</v>
      </c>
      <c r="D85" s="1">
        <v>0.7</v>
      </c>
      <c r="E85" s="8">
        <v>-27.5</v>
      </c>
      <c r="F85" s="8">
        <v>-22.2</v>
      </c>
      <c r="G85" s="6">
        <f t="shared" si="1"/>
        <v>-27.922764816693235</v>
      </c>
    </row>
    <row r="86" spans="1:7" ht="12.75" customHeight="1">
      <c r="A86" s="1" t="s">
        <v>82</v>
      </c>
      <c r="B86" s="1">
        <v>100</v>
      </c>
      <c r="C86" s="14">
        <f t="shared" si="16"/>
        <v>0.78539816339744828</v>
      </c>
      <c r="D86" s="1">
        <v>0.3</v>
      </c>
      <c r="E86" s="8">
        <v>-23.3</v>
      </c>
      <c r="F86" s="8">
        <v>-13.3</v>
      </c>
      <c r="G86" s="6">
        <f t="shared" si="1"/>
        <v>-23.724590639037821</v>
      </c>
    </row>
    <row r="87" spans="1:7" ht="12.75" customHeight="1">
      <c r="B87" s="2">
        <f t="shared" ref="B87:B90" si="19">B86+50</f>
        <v>150</v>
      </c>
      <c r="C87" s="14">
        <f t="shared" si="16"/>
        <v>0.78539816339744828</v>
      </c>
      <c r="D87" s="1">
        <v>0.3</v>
      </c>
      <c r="E87" s="8">
        <v>-23.1</v>
      </c>
      <c r="F87" s="8">
        <v>-15.2</v>
      </c>
      <c r="G87" s="6">
        <f t="shared" si="1"/>
        <v>-23.524677582958994</v>
      </c>
    </row>
    <row r="88" spans="1:7" ht="12.75" customHeight="1">
      <c r="B88" s="2">
        <f t="shared" si="19"/>
        <v>200</v>
      </c>
      <c r="C88" s="14">
        <f t="shared" si="16"/>
        <v>0.78539816339744828</v>
      </c>
      <c r="D88" s="1">
        <v>0.3</v>
      </c>
      <c r="E88" s="8">
        <v>-23.7</v>
      </c>
      <c r="F88" s="8">
        <v>-15.6</v>
      </c>
      <c r="G88" s="6">
        <f t="shared" si="1"/>
        <v>-24.124416751195479</v>
      </c>
    </row>
    <row r="89" spans="1:7" ht="12.75" customHeight="1">
      <c r="B89" s="2">
        <f t="shared" si="19"/>
        <v>250</v>
      </c>
      <c r="C89" s="14">
        <f t="shared" si="16"/>
        <v>0.78539816339744828</v>
      </c>
      <c r="D89" s="1">
        <v>0.4</v>
      </c>
      <c r="E89" s="8">
        <v>-24.7</v>
      </c>
      <c r="F89" s="8">
        <v>-17.399999999999999</v>
      </c>
      <c r="G89" s="6">
        <f t="shared" si="1"/>
        <v>-25.123982031589627</v>
      </c>
    </row>
    <row r="90" spans="1:7" ht="12.75" customHeight="1">
      <c r="B90" s="2">
        <f t="shared" si="19"/>
        <v>300</v>
      </c>
      <c r="C90" s="14">
        <f t="shared" si="16"/>
        <v>0.78539816339744828</v>
      </c>
      <c r="D90" s="1">
        <v>0.3</v>
      </c>
      <c r="E90" s="8">
        <v>-24.2</v>
      </c>
      <c r="F90" s="8">
        <v>-19.100000000000001</v>
      </c>
      <c r="G90" s="6">
        <f t="shared" si="1"/>
        <v>-24.624199391392551</v>
      </c>
    </row>
    <row r="91" spans="1:7" ht="12.75" customHeight="1">
      <c r="B91" s="1">
        <v>340</v>
      </c>
      <c r="C91" s="14">
        <f t="shared" si="16"/>
        <v>0.78539816339744828</v>
      </c>
      <c r="D91" s="1">
        <v>0.5</v>
      </c>
      <c r="E91" s="8">
        <v>-25.1</v>
      </c>
      <c r="F91" s="8">
        <v>-19.5</v>
      </c>
      <c r="G91" s="6">
        <f t="shared" si="1"/>
        <v>-25.523808143747285</v>
      </c>
    </row>
    <row r="92" spans="1:7" ht="12.75" customHeight="1">
      <c r="B92" s="1">
        <v>390</v>
      </c>
      <c r="C92" s="14">
        <f t="shared" si="16"/>
        <v>0.78539816339744828</v>
      </c>
      <c r="D92" s="1">
        <v>0.8</v>
      </c>
      <c r="E92" s="8">
        <v>-25</v>
      </c>
      <c r="F92" s="8">
        <v>-21.9</v>
      </c>
      <c r="G92" s="6">
        <f t="shared" si="1"/>
        <v>-25.423851615707868</v>
      </c>
    </row>
    <row r="93" spans="1:7" ht="12.75" customHeight="1">
      <c r="A93" s="1" t="s">
        <v>83</v>
      </c>
      <c r="B93" s="1">
        <v>100</v>
      </c>
      <c r="C93" s="14">
        <f t="shared" ref="C93:C120" si="20">PI()*(0.5^2)/4</f>
        <v>0.19634954084936207</v>
      </c>
      <c r="D93" s="1">
        <v>0.1</v>
      </c>
      <c r="E93" s="8">
        <v>-16.899999999999999</v>
      </c>
      <c r="F93" s="8">
        <v>-9.6</v>
      </c>
      <c r="G93" s="6">
        <f t="shared" si="1"/>
        <v>-17.327372844515288</v>
      </c>
    </row>
    <row r="94" spans="1:7" ht="12.75" customHeight="1">
      <c r="B94" s="2">
        <f t="shared" ref="B94:B97" si="21">B93+50</f>
        <v>150</v>
      </c>
      <c r="C94" s="14">
        <f t="shared" si="20"/>
        <v>0.19634954084936207</v>
      </c>
      <c r="D94" s="1">
        <v>0.2</v>
      </c>
      <c r="E94" s="8">
        <v>-19.600000000000001</v>
      </c>
      <c r="F94" s="8">
        <v>-13.1</v>
      </c>
      <c r="G94" s="6">
        <f t="shared" si="1"/>
        <v>-20.026199101579483</v>
      </c>
    </row>
    <row r="95" spans="1:7" ht="12.75" customHeight="1">
      <c r="B95" s="2">
        <f t="shared" si="21"/>
        <v>200</v>
      </c>
      <c r="C95" s="14">
        <f t="shared" si="20"/>
        <v>0.19634954084936207</v>
      </c>
      <c r="D95" s="1">
        <v>0.3</v>
      </c>
      <c r="E95" s="8">
        <v>-22.6</v>
      </c>
      <c r="F95" s="8">
        <v>-16.2</v>
      </c>
      <c r="G95" s="6">
        <f t="shared" si="1"/>
        <v>-23.024894942761922</v>
      </c>
    </row>
    <row r="96" spans="1:7" ht="12.75" customHeight="1">
      <c r="B96" s="2">
        <f t="shared" si="21"/>
        <v>250</v>
      </c>
      <c r="C96" s="14">
        <f t="shared" si="20"/>
        <v>0.19634954084936207</v>
      </c>
      <c r="D96" s="1">
        <v>0.4</v>
      </c>
      <c r="E96" s="8">
        <v>-23.9</v>
      </c>
      <c r="F96" s="8">
        <v>-16.7</v>
      </c>
      <c r="G96" s="6">
        <f t="shared" si="1"/>
        <v>-24.324329807274307</v>
      </c>
    </row>
    <row r="97" spans="1:7" ht="12.75" customHeight="1">
      <c r="B97" s="2">
        <f t="shared" si="21"/>
        <v>300</v>
      </c>
      <c r="C97" s="14">
        <f t="shared" si="20"/>
        <v>0.19634954084936207</v>
      </c>
      <c r="D97" s="1">
        <v>0.4</v>
      </c>
      <c r="E97" s="8">
        <v>-23.5</v>
      </c>
      <c r="F97" s="8">
        <v>-17.399999999999999</v>
      </c>
      <c r="G97" s="6">
        <f t="shared" si="1"/>
        <v>-23.924503695116648</v>
      </c>
    </row>
    <row r="98" spans="1:7" ht="12.75" customHeight="1">
      <c r="B98" s="1">
        <v>340</v>
      </c>
      <c r="C98" s="14">
        <f t="shared" si="20"/>
        <v>0.19634954084936207</v>
      </c>
      <c r="D98" s="1">
        <v>0.8</v>
      </c>
      <c r="E98" s="8">
        <v>-22.7</v>
      </c>
      <c r="F98" s="8">
        <v>-20</v>
      </c>
      <c r="G98" s="6">
        <f t="shared" si="1"/>
        <v>-23.124851470801332</v>
      </c>
    </row>
    <row r="99" spans="1:7" ht="12.75" customHeight="1">
      <c r="B99" s="1">
        <v>390</v>
      </c>
      <c r="C99" s="14">
        <f t="shared" si="20"/>
        <v>0.19634954084936207</v>
      </c>
      <c r="D99" s="1">
        <v>1.2</v>
      </c>
      <c r="E99" s="8">
        <v>-22.3</v>
      </c>
      <c r="F99" s="8">
        <v>-20.8</v>
      </c>
      <c r="G99" s="6">
        <f t="shared" si="1"/>
        <v>-22.725025358643677</v>
      </c>
    </row>
    <row r="100" spans="1:7" ht="12.75" customHeight="1">
      <c r="A100" s="1" t="s">
        <v>85</v>
      </c>
      <c r="B100" s="1">
        <v>100</v>
      </c>
      <c r="C100" s="14">
        <f t="shared" si="20"/>
        <v>0.19634954084936207</v>
      </c>
      <c r="D100" s="1">
        <v>0.2</v>
      </c>
      <c r="E100" s="8">
        <v>-20.2</v>
      </c>
      <c r="F100" s="8">
        <v>-14</v>
      </c>
      <c r="G100" s="6">
        <f t="shared" si="1"/>
        <v>-20.625938269815968</v>
      </c>
    </row>
    <row r="101" spans="1:7" ht="12.75" customHeight="1">
      <c r="B101" s="2">
        <f t="shared" ref="B101:B104" si="22">B100+50</f>
        <v>150</v>
      </c>
      <c r="C101" s="14">
        <f t="shared" si="20"/>
        <v>0.19634954084936207</v>
      </c>
      <c r="D101" s="1">
        <v>0.2</v>
      </c>
      <c r="E101" s="8">
        <v>-21.2</v>
      </c>
      <c r="F101" s="8">
        <v>-15.7</v>
      </c>
      <c r="G101" s="6">
        <f t="shared" si="1"/>
        <v>-21.625503550210112</v>
      </c>
    </row>
    <row r="102" spans="1:7" ht="12.75" customHeight="1">
      <c r="B102" s="2">
        <f t="shared" si="22"/>
        <v>200</v>
      </c>
      <c r="C102" s="14">
        <f t="shared" si="20"/>
        <v>0.19634954084936207</v>
      </c>
      <c r="D102" s="1">
        <v>0.2</v>
      </c>
      <c r="E102" s="8">
        <v>-22.5</v>
      </c>
      <c r="F102" s="8">
        <v>-15.7</v>
      </c>
      <c r="G102" s="6">
        <f t="shared" si="1"/>
        <v>-22.924938414722504</v>
      </c>
    </row>
    <row r="103" spans="1:7" ht="12.75" customHeight="1">
      <c r="B103" s="2">
        <f t="shared" si="22"/>
        <v>250</v>
      </c>
      <c r="C103" s="14">
        <f t="shared" si="20"/>
        <v>0.19634954084936207</v>
      </c>
      <c r="D103" s="1">
        <v>0.3</v>
      </c>
      <c r="E103" s="8">
        <v>-22.7</v>
      </c>
      <c r="F103" s="8">
        <v>-16.600000000000001</v>
      </c>
      <c r="G103" s="6">
        <f t="shared" si="1"/>
        <v>-23.124851470801332</v>
      </c>
    </row>
    <row r="104" spans="1:7" ht="12.75" customHeight="1">
      <c r="B104" s="2">
        <f t="shared" si="22"/>
        <v>300</v>
      </c>
      <c r="C104" s="14">
        <f t="shared" si="20"/>
        <v>0.19634954084936207</v>
      </c>
      <c r="D104" s="1">
        <v>0.2</v>
      </c>
      <c r="E104" s="8">
        <v>-22.7</v>
      </c>
      <c r="F104" s="8">
        <v>-18.3</v>
      </c>
      <c r="G104" s="6">
        <f t="shared" si="1"/>
        <v>-23.124851470801332</v>
      </c>
    </row>
    <row r="105" spans="1:7" ht="12.75" customHeight="1">
      <c r="B105" s="1">
        <v>340</v>
      </c>
      <c r="C105" s="14">
        <f t="shared" si="20"/>
        <v>0.19634954084936207</v>
      </c>
      <c r="D105" s="1">
        <v>0.3</v>
      </c>
      <c r="E105" s="8">
        <v>-23.3</v>
      </c>
      <c r="F105" s="8">
        <v>-20</v>
      </c>
      <c r="G105" s="6">
        <f t="shared" si="1"/>
        <v>-23.724590639037821</v>
      </c>
    </row>
    <row r="106" spans="1:7" ht="12.75" customHeight="1">
      <c r="B106" s="1">
        <v>390</v>
      </c>
      <c r="C106" s="14">
        <f t="shared" si="20"/>
        <v>0.19634954084936207</v>
      </c>
      <c r="D106" s="1">
        <v>0.3</v>
      </c>
      <c r="E106" s="8">
        <v>-24.1</v>
      </c>
      <c r="F106" s="8">
        <v>-20.399999999999999</v>
      </c>
      <c r="G106" s="6">
        <f t="shared" si="1"/>
        <v>-24.524242863353141</v>
      </c>
    </row>
    <row r="107" spans="1:7" ht="12.75" customHeight="1">
      <c r="A107" s="1" t="s">
        <v>86</v>
      </c>
      <c r="B107" s="1">
        <v>100</v>
      </c>
      <c r="C107" s="14">
        <f t="shared" si="20"/>
        <v>0.19634954084936207</v>
      </c>
      <c r="D107" s="1">
        <v>0.1</v>
      </c>
      <c r="E107" s="8">
        <v>-20.3</v>
      </c>
      <c r="F107" s="8">
        <v>-14.9</v>
      </c>
      <c r="G107" s="6">
        <f t="shared" si="1"/>
        <v>-20.725894797855386</v>
      </c>
    </row>
    <row r="108" spans="1:7" ht="12.75" customHeight="1">
      <c r="B108" s="2">
        <f t="shared" ref="B108:B111" si="23">B107+50</f>
        <v>150</v>
      </c>
      <c r="C108" s="14">
        <f t="shared" si="20"/>
        <v>0.19634954084936207</v>
      </c>
      <c r="D108" s="1">
        <v>0.2</v>
      </c>
      <c r="E108" s="8">
        <v>-21.1</v>
      </c>
      <c r="F108" s="8">
        <v>-12.1</v>
      </c>
      <c r="G108" s="6">
        <f t="shared" si="1"/>
        <v>-21.525547022170702</v>
      </c>
    </row>
    <row r="109" spans="1:7" ht="12.75" customHeight="1">
      <c r="B109" s="2">
        <f t="shared" si="23"/>
        <v>200</v>
      </c>
      <c r="C109" s="14">
        <f t="shared" si="20"/>
        <v>0.19634954084936207</v>
      </c>
      <c r="D109" s="1">
        <v>0.2</v>
      </c>
      <c r="E109" s="8">
        <v>-22.1</v>
      </c>
      <c r="F109" s="8">
        <v>-17.7</v>
      </c>
      <c r="G109" s="6">
        <f t="shared" si="1"/>
        <v>-22.52511230256485</v>
      </c>
    </row>
    <row r="110" spans="1:7" ht="12.75" customHeight="1">
      <c r="B110" s="2">
        <f t="shared" si="23"/>
        <v>250</v>
      </c>
      <c r="C110" s="14">
        <f t="shared" si="20"/>
        <v>0.19634954084936207</v>
      </c>
      <c r="D110" s="1">
        <v>0.3</v>
      </c>
      <c r="E110" s="8">
        <v>-22.9</v>
      </c>
      <c r="F110" s="8">
        <v>-16</v>
      </c>
      <c r="G110" s="6">
        <f t="shared" si="1"/>
        <v>-23.324764526880163</v>
      </c>
    </row>
    <row r="111" spans="1:7" ht="12.75" customHeight="1">
      <c r="B111" s="2">
        <f t="shared" si="23"/>
        <v>300</v>
      </c>
      <c r="C111" s="14">
        <f t="shared" si="20"/>
        <v>0.19634954084936207</v>
      </c>
      <c r="D111" s="1">
        <v>0.3</v>
      </c>
      <c r="E111" s="8">
        <v>-24.2</v>
      </c>
      <c r="F111" s="8">
        <v>-17.5</v>
      </c>
      <c r="G111" s="6">
        <f t="shared" si="1"/>
        <v>-24.624199391392551</v>
      </c>
    </row>
    <row r="112" spans="1:7" ht="12.75" customHeight="1">
      <c r="B112" s="1">
        <v>340</v>
      </c>
      <c r="C112" s="14">
        <f t="shared" si="20"/>
        <v>0.19634954084936207</v>
      </c>
      <c r="D112" s="1">
        <v>0.3</v>
      </c>
      <c r="E112" s="8">
        <v>-23.3</v>
      </c>
      <c r="F112" s="8">
        <v>-18.899999999999999</v>
      </c>
      <c r="G112" s="6">
        <f t="shared" si="1"/>
        <v>-23.724590639037821</v>
      </c>
    </row>
    <row r="113" spans="1:7" ht="12.75" customHeight="1">
      <c r="B113" s="1">
        <v>390</v>
      </c>
      <c r="C113" s="14">
        <f t="shared" si="20"/>
        <v>0.19634954084936207</v>
      </c>
      <c r="D113" s="1">
        <v>0.6</v>
      </c>
      <c r="E113" s="8">
        <v>-22.1</v>
      </c>
      <c r="F113" s="8">
        <v>-20.100000000000001</v>
      </c>
      <c r="G113" s="6">
        <f t="shared" si="1"/>
        <v>-22.52511230256485</v>
      </c>
    </row>
    <row r="114" spans="1:7" ht="12.75" customHeight="1">
      <c r="A114" s="1" t="s">
        <v>87</v>
      </c>
      <c r="B114" s="1">
        <v>100</v>
      </c>
      <c r="C114" s="14">
        <f t="shared" si="20"/>
        <v>0.19634954084936207</v>
      </c>
      <c r="D114" s="1">
        <v>0.2</v>
      </c>
      <c r="E114" s="8">
        <v>-18.7</v>
      </c>
      <c r="F114" s="8">
        <v>-13.2</v>
      </c>
      <c r="G114" s="6">
        <f t="shared" si="1"/>
        <v>-19.126590349224749</v>
      </c>
    </row>
    <row r="115" spans="1:7" ht="12.75" customHeight="1">
      <c r="B115" s="2">
        <f t="shared" ref="B115:B118" si="24">B114+50</f>
        <v>150</v>
      </c>
      <c r="C115" s="14">
        <f t="shared" si="20"/>
        <v>0.19634954084936207</v>
      </c>
      <c r="D115" s="1">
        <v>0.2</v>
      </c>
      <c r="E115" s="8">
        <v>-21</v>
      </c>
      <c r="F115" s="8">
        <v>-16.100000000000001</v>
      </c>
      <c r="G115" s="6">
        <f t="shared" si="1"/>
        <v>-21.425590494131285</v>
      </c>
    </row>
    <row r="116" spans="1:7" ht="12.75" customHeight="1">
      <c r="B116" s="2">
        <f t="shared" si="24"/>
        <v>200</v>
      </c>
      <c r="C116" s="14">
        <f t="shared" si="20"/>
        <v>0.19634954084936207</v>
      </c>
      <c r="D116" s="1">
        <v>0.2</v>
      </c>
      <c r="E116" s="8">
        <v>-21.9</v>
      </c>
      <c r="F116" s="8">
        <v>-17.899999999999999</v>
      </c>
      <c r="G116" s="6">
        <f t="shared" si="1"/>
        <v>-22.325199246486015</v>
      </c>
    </row>
    <row r="117" spans="1:7" ht="12.75" customHeight="1">
      <c r="B117" s="2">
        <f t="shared" si="24"/>
        <v>250</v>
      </c>
      <c r="C117" s="14">
        <f t="shared" si="20"/>
        <v>0.19634954084936207</v>
      </c>
      <c r="D117" s="1">
        <v>0.3</v>
      </c>
      <c r="E117" s="8">
        <v>-22.5</v>
      </c>
      <c r="F117" s="8">
        <v>-17.7</v>
      </c>
      <c r="G117" s="6">
        <f t="shared" si="1"/>
        <v>-22.924938414722504</v>
      </c>
    </row>
    <row r="118" spans="1:7" ht="12.75" customHeight="1">
      <c r="B118" s="2">
        <f t="shared" si="24"/>
        <v>300</v>
      </c>
      <c r="C118" s="14">
        <f t="shared" si="20"/>
        <v>0.19634954084936207</v>
      </c>
      <c r="D118" s="1">
        <v>0.3</v>
      </c>
      <c r="E118" s="8">
        <v>-21.1</v>
      </c>
      <c r="F118" s="8">
        <v>-19.399999999999999</v>
      </c>
      <c r="G118" s="6">
        <f t="shared" si="1"/>
        <v>-21.525547022170702</v>
      </c>
    </row>
    <row r="119" spans="1:7" ht="12.75" customHeight="1">
      <c r="B119" s="1">
        <v>340</v>
      </c>
      <c r="C119" s="14">
        <f t="shared" si="20"/>
        <v>0.19634954084936207</v>
      </c>
      <c r="D119" s="1">
        <v>0.4</v>
      </c>
      <c r="E119" s="8">
        <v>-23.1</v>
      </c>
      <c r="F119" s="8">
        <v>-20.100000000000001</v>
      </c>
      <c r="G119" s="6">
        <f t="shared" si="1"/>
        <v>-23.524677582958994</v>
      </c>
    </row>
    <row r="120" spans="1:7" ht="12.75" customHeight="1">
      <c r="B120" s="1">
        <v>390</v>
      </c>
      <c r="C120" s="14">
        <f t="shared" si="20"/>
        <v>0.19634954084936207</v>
      </c>
      <c r="D120" s="1">
        <v>0.8</v>
      </c>
      <c r="E120" s="8">
        <v>-23.9</v>
      </c>
      <c r="F120" s="8">
        <v>-21.6</v>
      </c>
      <c r="G120" s="6">
        <f t="shared" si="1"/>
        <v>-24.324329807274307</v>
      </c>
    </row>
    <row r="121" spans="1:7" ht="12.75" customHeight="1">
      <c r="A121" s="1" t="s">
        <v>88</v>
      </c>
      <c r="B121" s="1">
        <v>100</v>
      </c>
      <c r="C121" s="14">
        <f t="shared" ref="C121:C127" si="25">PI()*(1^2)/4 *2</f>
        <v>1.5707963267948966</v>
      </c>
      <c r="D121" s="1">
        <v>0.5</v>
      </c>
      <c r="E121" s="8">
        <v>-25.8</v>
      </c>
      <c r="F121" s="8">
        <v>-14.7</v>
      </c>
      <c r="G121" s="6">
        <f t="shared" si="1"/>
        <v>-26.223503840023188</v>
      </c>
    </row>
    <row r="122" spans="1:7" ht="12.75" customHeight="1">
      <c r="B122" s="2">
        <f t="shared" ref="B122:B125" si="26">B121+50</f>
        <v>150</v>
      </c>
      <c r="C122" s="14">
        <f t="shared" si="25"/>
        <v>1.5707963267948966</v>
      </c>
      <c r="D122" s="1">
        <v>0.3</v>
      </c>
      <c r="E122" s="8">
        <v>-25.2</v>
      </c>
      <c r="F122" s="8">
        <v>-16.399999999999999</v>
      </c>
      <c r="G122" s="6">
        <f t="shared" si="1"/>
        <v>-25.623764671786699</v>
      </c>
    </row>
    <row r="123" spans="1:7" ht="12.75" customHeight="1">
      <c r="B123" s="2">
        <f t="shared" si="26"/>
        <v>200</v>
      </c>
      <c r="C123" s="14">
        <f t="shared" si="25"/>
        <v>1.5707963267948966</v>
      </c>
      <c r="D123" s="1">
        <v>0.2</v>
      </c>
      <c r="E123" s="8">
        <v>-23.6</v>
      </c>
      <c r="F123" s="8">
        <v>-16.3</v>
      </c>
      <c r="G123" s="6">
        <f t="shared" si="1"/>
        <v>-24.024460223156069</v>
      </c>
    </row>
    <row r="124" spans="1:7" ht="12.75" customHeight="1">
      <c r="B124" s="2">
        <f t="shared" si="26"/>
        <v>250</v>
      </c>
      <c r="C124" s="14">
        <f t="shared" si="25"/>
        <v>1.5707963267948966</v>
      </c>
      <c r="D124" s="1">
        <v>0.3</v>
      </c>
      <c r="E124" s="8">
        <v>-24.4</v>
      </c>
      <c r="F124" s="8">
        <v>-17.899999999999999</v>
      </c>
      <c r="G124" s="6">
        <f t="shared" si="1"/>
        <v>-24.824112447471379</v>
      </c>
    </row>
    <row r="125" spans="1:7" ht="12.75" customHeight="1">
      <c r="B125" s="2">
        <f t="shared" si="26"/>
        <v>300</v>
      </c>
      <c r="C125" s="14">
        <f t="shared" si="25"/>
        <v>1.5707963267948966</v>
      </c>
      <c r="D125" s="1">
        <v>0.3</v>
      </c>
      <c r="E125" s="8">
        <v>-24.4</v>
      </c>
      <c r="F125" s="8">
        <v>-19.3</v>
      </c>
      <c r="G125" s="6">
        <f t="shared" si="1"/>
        <v>-24.824112447471379</v>
      </c>
    </row>
    <row r="126" spans="1:7" ht="12.75" customHeight="1">
      <c r="B126" s="1">
        <v>340</v>
      </c>
      <c r="C126" s="14">
        <f t="shared" si="25"/>
        <v>1.5707963267948966</v>
      </c>
      <c r="D126" s="1">
        <v>0.4</v>
      </c>
      <c r="E126" s="8">
        <v>-24.8</v>
      </c>
      <c r="F126" s="8">
        <v>-20.8</v>
      </c>
      <c r="G126" s="6">
        <f t="shared" si="1"/>
        <v>-25.22393855962904</v>
      </c>
    </row>
    <row r="127" spans="1:7" ht="12.75" customHeight="1">
      <c r="B127" s="1">
        <v>390</v>
      </c>
      <c r="C127" s="14">
        <f t="shared" si="25"/>
        <v>1.5707963267948966</v>
      </c>
      <c r="D127" s="1">
        <v>0.6</v>
      </c>
      <c r="E127" s="8">
        <v>-24.9</v>
      </c>
      <c r="F127" s="8">
        <v>-22.3</v>
      </c>
      <c r="G127" s="6">
        <f t="shared" si="1"/>
        <v>-25.323895087668454</v>
      </c>
    </row>
    <row r="128" spans="1:7" ht="12.75" customHeight="1">
      <c r="A128" s="1" t="s">
        <v>90</v>
      </c>
      <c r="B128" s="1">
        <v>100</v>
      </c>
      <c r="C128" s="14">
        <f t="shared" ref="C128:C134" si="27">PI()*(0.5^2)/4</f>
        <v>0.19634954084936207</v>
      </c>
      <c r="D128" s="1">
        <v>0.1</v>
      </c>
      <c r="E128" s="8">
        <v>-19.7</v>
      </c>
      <c r="F128" s="8">
        <v>-13.4</v>
      </c>
      <c r="G128" s="6">
        <f t="shared" si="1"/>
        <v>-20.126155629618896</v>
      </c>
    </row>
    <row r="129" spans="1:7" ht="12.75" customHeight="1">
      <c r="B129" s="2">
        <f t="shared" ref="B129:B132" si="28">B128+50</f>
        <v>150</v>
      </c>
      <c r="C129" s="14">
        <f t="shared" si="27"/>
        <v>0.19634954084936207</v>
      </c>
      <c r="D129" s="1">
        <v>0.2</v>
      </c>
      <c r="E129" s="8">
        <v>-23.2</v>
      </c>
      <c r="F129" s="8">
        <v>-13.7</v>
      </c>
      <c r="G129" s="6">
        <f t="shared" si="1"/>
        <v>-23.624634110998407</v>
      </c>
    </row>
    <row r="130" spans="1:7" ht="12.75" customHeight="1">
      <c r="B130" s="2">
        <f t="shared" si="28"/>
        <v>200</v>
      </c>
      <c r="C130" s="14">
        <f t="shared" si="27"/>
        <v>0.19634954084936207</v>
      </c>
      <c r="D130" s="1">
        <v>0.2</v>
      </c>
      <c r="E130" s="8">
        <v>-22.5</v>
      </c>
      <c r="F130" s="8">
        <v>-15.7</v>
      </c>
      <c r="G130" s="6">
        <f t="shared" si="1"/>
        <v>-22.924938414722504</v>
      </c>
    </row>
    <row r="131" spans="1:7" ht="12.75" customHeight="1">
      <c r="B131" s="2">
        <f t="shared" si="28"/>
        <v>250</v>
      </c>
      <c r="C131" s="14">
        <f t="shared" si="27"/>
        <v>0.19634954084936207</v>
      </c>
      <c r="D131" s="1">
        <v>0.2</v>
      </c>
      <c r="E131" s="8">
        <v>-23.8</v>
      </c>
      <c r="F131" s="8">
        <v>-17.3</v>
      </c>
      <c r="G131" s="6">
        <f t="shared" si="1"/>
        <v>-24.224373279234896</v>
      </c>
    </row>
    <row r="132" spans="1:7" ht="12.75" customHeight="1">
      <c r="B132" s="2">
        <f t="shared" si="28"/>
        <v>300</v>
      </c>
      <c r="C132" s="14">
        <f t="shared" si="27"/>
        <v>0.19634954084936207</v>
      </c>
      <c r="D132" s="1">
        <v>0.3</v>
      </c>
      <c r="E132" s="8">
        <v>-24.8</v>
      </c>
      <c r="F132" s="8">
        <v>-19</v>
      </c>
      <c r="G132" s="6">
        <f t="shared" si="1"/>
        <v>-25.22393855962904</v>
      </c>
    </row>
    <row r="133" spans="1:7" ht="12.75" customHeight="1">
      <c r="B133" s="1">
        <v>340</v>
      </c>
      <c r="C133" s="14">
        <f t="shared" si="27"/>
        <v>0.19634954084936207</v>
      </c>
      <c r="D133" s="1">
        <v>0.3</v>
      </c>
      <c r="E133" s="8">
        <v>-22.6</v>
      </c>
      <c r="F133" s="8">
        <v>-18.5</v>
      </c>
      <c r="G133" s="6">
        <f t="shared" si="1"/>
        <v>-23.024894942761922</v>
      </c>
    </row>
    <row r="134" spans="1:7" ht="12.75" customHeight="1">
      <c r="B134" s="1">
        <v>390</v>
      </c>
      <c r="C134" s="14">
        <f t="shared" si="27"/>
        <v>0.19634954084936207</v>
      </c>
      <c r="D134" s="1">
        <v>0.4</v>
      </c>
      <c r="E134" s="8">
        <v>-23.7</v>
      </c>
      <c r="F134" s="8">
        <v>-21</v>
      </c>
      <c r="G134" s="6">
        <f t="shared" si="1"/>
        <v>-24.124416751195479</v>
      </c>
    </row>
    <row r="135" spans="1:7" ht="12.75" customHeight="1">
      <c r="A135" s="1" t="s">
        <v>91</v>
      </c>
      <c r="B135" s="1">
        <v>100</v>
      </c>
      <c r="C135" s="14">
        <f t="shared" ref="C135:C141" si="29">PI()*(1^2)/4 *2</f>
        <v>1.5707963267948966</v>
      </c>
      <c r="D135" s="1">
        <v>2.2999999999999998</v>
      </c>
      <c r="E135" s="8">
        <v>-26</v>
      </c>
      <c r="F135" s="8">
        <v>-15</v>
      </c>
      <c r="G135" s="6">
        <f t="shared" si="1"/>
        <v>-26.423416896102015</v>
      </c>
    </row>
    <row r="136" spans="1:7" ht="12.75" customHeight="1">
      <c r="B136" s="2">
        <f t="shared" ref="B136:B139" si="30">B135+50</f>
        <v>150</v>
      </c>
      <c r="C136" s="14">
        <f t="shared" si="29"/>
        <v>1.5707963267948966</v>
      </c>
      <c r="D136" s="1">
        <v>7.9</v>
      </c>
      <c r="E136" s="8">
        <v>-30.1</v>
      </c>
      <c r="F136" s="8">
        <v>-16.899999999999999</v>
      </c>
      <c r="G136" s="6">
        <f t="shared" si="1"/>
        <v>-30.521634545718015</v>
      </c>
    </row>
    <row r="137" spans="1:7" ht="12.75" customHeight="1">
      <c r="B137" s="2">
        <f t="shared" si="30"/>
        <v>200</v>
      </c>
      <c r="C137" s="14">
        <f t="shared" si="29"/>
        <v>1.5707963267948966</v>
      </c>
      <c r="D137" s="1">
        <v>6.4</v>
      </c>
      <c r="E137" s="8">
        <v>-29.6</v>
      </c>
      <c r="F137" s="8">
        <v>-18.399999999999999</v>
      </c>
      <c r="G137" s="6">
        <f t="shared" si="1"/>
        <v>-30.02185190552094</v>
      </c>
    </row>
    <row r="138" spans="1:7" ht="12.75" customHeight="1">
      <c r="B138" s="2">
        <f t="shared" si="30"/>
        <v>250</v>
      </c>
      <c r="C138" s="14">
        <f t="shared" si="29"/>
        <v>1.5707963267948966</v>
      </c>
      <c r="D138" s="1">
        <v>6</v>
      </c>
      <c r="E138" s="8">
        <v>-28.3</v>
      </c>
      <c r="F138" s="8">
        <v>-19.8</v>
      </c>
      <c r="G138" s="6">
        <f t="shared" si="1"/>
        <v>-28.722417041008551</v>
      </c>
    </row>
    <row r="139" spans="1:7" ht="12.75" customHeight="1">
      <c r="B139" s="2">
        <f t="shared" si="30"/>
        <v>300</v>
      </c>
      <c r="C139" s="14">
        <f t="shared" si="29"/>
        <v>1.5707963267948966</v>
      </c>
      <c r="D139" s="1">
        <v>7.5</v>
      </c>
      <c r="E139" s="8">
        <v>-28.3</v>
      </c>
      <c r="F139" s="8">
        <v>-20.8</v>
      </c>
      <c r="G139" s="6">
        <f t="shared" si="1"/>
        <v>-28.722417041008551</v>
      </c>
    </row>
    <row r="140" spans="1:7" ht="12.75" customHeight="1">
      <c r="B140" s="1">
        <v>340</v>
      </c>
      <c r="C140" s="14">
        <f t="shared" si="29"/>
        <v>1.5707963267948966</v>
      </c>
      <c r="D140" s="1">
        <v>9.1</v>
      </c>
      <c r="E140" s="8">
        <v>-28</v>
      </c>
      <c r="F140" s="8">
        <v>-21.7</v>
      </c>
      <c r="G140" s="6">
        <f t="shared" si="1"/>
        <v>-28.422547456890307</v>
      </c>
    </row>
    <row r="141" spans="1:7" ht="12.75" customHeight="1">
      <c r="B141" s="1">
        <v>390</v>
      </c>
      <c r="C141" s="14">
        <f t="shared" si="29"/>
        <v>1.5707963267948966</v>
      </c>
      <c r="D141" s="1">
        <v>12.2</v>
      </c>
      <c r="E141" s="8">
        <v>-28.1</v>
      </c>
      <c r="F141" s="8">
        <v>-23</v>
      </c>
      <c r="G141" s="6">
        <f t="shared" si="1"/>
        <v>-28.522503984929724</v>
      </c>
    </row>
    <row r="142" spans="1:7" ht="12.75" customHeight="1">
      <c r="A142" s="1" t="s">
        <v>92</v>
      </c>
      <c r="B142" s="1">
        <v>100</v>
      </c>
      <c r="C142" s="14">
        <f t="shared" ref="C142:C148" si="31">PI()*(1^2)/4 *0.5</f>
        <v>0.39269908169872414</v>
      </c>
      <c r="D142" s="1">
        <v>20</v>
      </c>
      <c r="E142" s="8">
        <v>-26.6</v>
      </c>
      <c r="F142" s="8">
        <v>-17</v>
      </c>
      <c r="G142" s="6">
        <f t="shared" si="1"/>
        <v>-27.023156064338504</v>
      </c>
    </row>
    <row r="143" spans="1:7" ht="12.75" customHeight="1">
      <c r="B143" s="2">
        <f t="shared" ref="B143:B146" si="32">B142+50</f>
        <v>150</v>
      </c>
      <c r="C143" s="14">
        <f t="shared" si="31"/>
        <v>0.39269908169872414</v>
      </c>
      <c r="D143" s="30">
        <v>66.400000000000006</v>
      </c>
      <c r="E143" s="31">
        <v>-104.5</v>
      </c>
      <c r="F143" s="31">
        <v>-186.7</v>
      </c>
      <c r="G143" s="6">
        <f t="shared" si="1"/>
        <v>-104.88929140704246</v>
      </c>
    </row>
    <row r="144" spans="1:7" ht="12.75" customHeight="1">
      <c r="B144" s="2">
        <f t="shared" si="32"/>
        <v>200</v>
      </c>
      <c r="C144" s="14">
        <f t="shared" si="31"/>
        <v>0.39269908169872414</v>
      </c>
      <c r="D144" s="1">
        <v>27.4</v>
      </c>
      <c r="E144" s="8">
        <v>-28.2</v>
      </c>
      <c r="F144" s="8">
        <v>-21.9</v>
      </c>
      <c r="G144" s="6">
        <f t="shared" si="1"/>
        <v>-28.622460512969134</v>
      </c>
    </row>
    <row r="145" spans="1:7" ht="12.75" customHeight="1">
      <c r="B145" s="2">
        <f t="shared" si="32"/>
        <v>250</v>
      </c>
      <c r="C145" s="14">
        <f t="shared" si="31"/>
        <v>0.39269908169872414</v>
      </c>
      <c r="D145" s="1">
        <v>11.5</v>
      </c>
      <c r="E145" s="8">
        <v>-28.1</v>
      </c>
      <c r="F145" s="8">
        <v>-21.6</v>
      </c>
      <c r="G145" s="6">
        <f t="shared" si="1"/>
        <v>-28.522503984929724</v>
      </c>
    </row>
    <row r="146" spans="1:7" ht="12.75" customHeight="1">
      <c r="B146" s="2">
        <f t="shared" si="32"/>
        <v>300</v>
      </c>
      <c r="C146" s="14">
        <f t="shared" si="31"/>
        <v>0.39269908169872414</v>
      </c>
      <c r="D146" s="1">
        <v>10</v>
      </c>
      <c r="E146" s="8">
        <v>-28.3</v>
      </c>
      <c r="F146" s="8">
        <v>-21.6</v>
      </c>
      <c r="G146" s="6">
        <f t="shared" si="1"/>
        <v>-28.722417041008551</v>
      </c>
    </row>
    <row r="147" spans="1:7" ht="12.75" customHeight="1">
      <c r="B147" s="1">
        <v>340</v>
      </c>
      <c r="C147" s="14">
        <f t="shared" si="31"/>
        <v>0.39269908169872414</v>
      </c>
      <c r="D147" s="1">
        <v>10.3</v>
      </c>
      <c r="E147" s="8">
        <v>-28.5</v>
      </c>
      <c r="F147" s="8">
        <v>-21.9</v>
      </c>
      <c r="G147" s="6">
        <f t="shared" si="1"/>
        <v>-28.922330097087382</v>
      </c>
    </row>
    <row r="148" spans="1:7" ht="12.75" customHeight="1">
      <c r="B148" s="1">
        <v>390</v>
      </c>
      <c r="C148" s="14">
        <f t="shared" si="31"/>
        <v>0.39269908169872414</v>
      </c>
      <c r="D148" s="1">
        <v>10.5</v>
      </c>
      <c r="E148" s="8">
        <v>-28.5</v>
      </c>
      <c r="F148" s="8">
        <v>-22.2</v>
      </c>
      <c r="G148" s="6">
        <f t="shared" si="1"/>
        <v>-28.922330097087382</v>
      </c>
    </row>
    <row r="149" spans="1:7" ht="12.75" customHeight="1">
      <c r="A149" s="1" t="s">
        <v>93</v>
      </c>
      <c r="B149" s="1">
        <v>100</v>
      </c>
      <c r="C149" s="14">
        <f t="shared" ref="C149:C169" si="33">PI()*(0.5^2)/4 *0.5</f>
        <v>9.8174770424681035E-2</v>
      </c>
      <c r="D149" s="1">
        <v>3.1</v>
      </c>
      <c r="E149" s="8">
        <v>-26.7</v>
      </c>
      <c r="F149" s="8">
        <v>-15.8</v>
      </c>
      <c r="G149" s="6">
        <f t="shared" si="1"/>
        <v>-27.123112592377915</v>
      </c>
    </row>
    <row r="150" spans="1:7" ht="12.75" customHeight="1">
      <c r="B150" s="2">
        <f t="shared" ref="B150:B153" si="34">B149+50</f>
        <v>150</v>
      </c>
      <c r="C150" s="14">
        <f t="shared" si="33"/>
        <v>9.8174770424681035E-2</v>
      </c>
      <c r="D150" s="1">
        <v>12.3</v>
      </c>
      <c r="E150" s="8">
        <v>-28.3</v>
      </c>
      <c r="F150" s="8">
        <v>-17.7</v>
      </c>
      <c r="G150" s="6">
        <f t="shared" si="1"/>
        <v>-28.722417041008551</v>
      </c>
    </row>
    <row r="151" spans="1:7" ht="12.75" customHeight="1">
      <c r="B151" s="2">
        <f t="shared" si="34"/>
        <v>200</v>
      </c>
      <c r="C151" s="14">
        <f t="shared" si="33"/>
        <v>9.8174770424681035E-2</v>
      </c>
      <c r="D151" s="1">
        <v>5.8</v>
      </c>
      <c r="E151" s="8">
        <v>-27.9</v>
      </c>
      <c r="F151" s="8">
        <v>-18.399999999999999</v>
      </c>
      <c r="G151" s="6">
        <f t="shared" si="1"/>
        <v>-28.322590928850893</v>
      </c>
    </row>
    <row r="152" spans="1:7" ht="12.75" customHeight="1">
      <c r="B152" s="2">
        <f t="shared" si="34"/>
        <v>250</v>
      </c>
      <c r="C152" s="14">
        <f t="shared" si="33"/>
        <v>9.8174770424681035E-2</v>
      </c>
      <c r="D152" s="1">
        <v>3.1</v>
      </c>
      <c r="E152" s="8">
        <v>-27.6</v>
      </c>
      <c r="F152" s="8">
        <v>-18.8</v>
      </c>
      <c r="G152" s="6">
        <f t="shared" si="1"/>
        <v>-28.022721344732652</v>
      </c>
    </row>
    <row r="153" spans="1:7" ht="12.75" customHeight="1">
      <c r="B153" s="2">
        <f t="shared" si="34"/>
        <v>300</v>
      </c>
      <c r="C153" s="14">
        <f t="shared" si="33"/>
        <v>9.8174770424681035E-2</v>
      </c>
      <c r="D153" s="1">
        <v>2.9</v>
      </c>
      <c r="E153" s="8">
        <v>-28.2</v>
      </c>
      <c r="F153" s="8">
        <v>-18.8</v>
      </c>
      <c r="G153" s="6">
        <f t="shared" si="1"/>
        <v>-28.622460512969134</v>
      </c>
    </row>
    <row r="154" spans="1:7" ht="12.75" customHeight="1">
      <c r="B154" s="1">
        <v>340</v>
      </c>
      <c r="C154" s="14">
        <f t="shared" si="33"/>
        <v>9.8174770424681035E-2</v>
      </c>
      <c r="D154" s="1">
        <v>3.1</v>
      </c>
      <c r="E154" s="8">
        <v>-28.4</v>
      </c>
      <c r="F154" s="8">
        <v>-19.5</v>
      </c>
      <c r="G154" s="6">
        <f t="shared" si="1"/>
        <v>-28.822373569047965</v>
      </c>
    </row>
    <row r="155" spans="1:7" ht="12.75" customHeight="1">
      <c r="B155" s="1">
        <v>390</v>
      </c>
      <c r="C155" s="14">
        <f t="shared" si="33"/>
        <v>9.8174770424681035E-2</v>
      </c>
      <c r="D155" s="1">
        <v>3.3</v>
      </c>
      <c r="E155" s="8">
        <v>-28.4</v>
      </c>
      <c r="F155" s="8">
        <v>-20.2</v>
      </c>
      <c r="G155" s="6">
        <f t="shared" si="1"/>
        <v>-28.822373569047965</v>
      </c>
    </row>
    <row r="156" spans="1:7" ht="12.75" customHeight="1">
      <c r="A156" s="1" t="s">
        <v>94</v>
      </c>
      <c r="B156" s="1">
        <v>100</v>
      </c>
      <c r="C156" s="14">
        <f t="shared" si="33"/>
        <v>9.8174770424681035E-2</v>
      </c>
      <c r="D156" s="1">
        <v>3.8</v>
      </c>
      <c r="E156" s="8">
        <v>-26.5</v>
      </c>
      <c r="F156" s="8">
        <v>-16.7</v>
      </c>
      <c r="G156" s="6">
        <f t="shared" si="1"/>
        <v>-26.923199536299087</v>
      </c>
    </row>
    <row r="157" spans="1:7" ht="12.75" customHeight="1">
      <c r="B157" s="2">
        <f t="shared" ref="B157:B160" si="35">B156+50</f>
        <v>150</v>
      </c>
      <c r="C157" s="14">
        <f t="shared" si="33"/>
        <v>9.8174770424681035E-2</v>
      </c>
      <c r="D157" s="1">
        <v>15</v>
      </c>
      <c r="E157" s="8">
        <v>-28.3</v>
      </c>
      <c r="F157" s="8">
        <v>-18.8</v>
      </c>
      <c r="G157" s="6">
        <f t="shared" si="1"/>
        <v>-28.722417041008551</v>
      </c>
    </row>
    <row r="158" spans="1:7" ht="12.75" customHeight="1">
      <c r="B158" s="2">
        <f t="shared" si="35"/>
        <v>200</v>
      </c>
      <c r="C158" s="14">
        <f t="shared" si="33"/>
        <v>9.8174770424681035E-2</v>
      </c>
      <c r="D158" s="1">
        <v>6.9</v>
      </c>
      <c r="E158" s="8">
        <v>-28</v>
      </c>
      <c r="F158" s="8">
        <v>-20.3</v>
      </c>
      <c r="G158" s="6">
        <f t="shared" si="1"/>
        <v>-28.422547456890307</v>
      </c>
    </row>
    <row r="159" spans="1:7" ht="12.75" customHeight="1">
      <c r="B159" s="2">
        <f t="shared" si="35"/>
        <v>250</v>
      </c>
      <c r="C159" s="14">
        <f t="shared" si="33"/>
        <v>9.8174770424681035E-2</v>
      </c>
      <c r="D159" s="1">
        <v>3.6</v>
      </c>
      <c r="E159" s="8">
        <v>-27.6</v>
      </c>
      <c r="F159" s="8">
        <v>-21.2</v>
      </c>
      <c r="G159" s="6">
        <f t="shared" si="1"/>
        <v>-28.022721344732652</v>
      </c>
    </row>
    <row r="160" spans="1:7" ht="12.75" customHeight="1">
      <c r="B160" s="2">
        <f t="shared" si="35"/>
        <v>300</v>
      </c>
      <c r="C160" s="14">
        <f t="shared" si="33"/>
        <v>9.8174770424681035E-2</v>
      </c>
      <c r="D160" s="1">
        <v>3.2</v>
      </c>
      <c r="E160" s="8">
        <v>-28.1</v>
      </c>
      <c r="F160" s="8">
        <v>-21.9</v>
      </c>
      <c r="G160" s="6">
        <f t="shared" si="1"/>
        <v>-28.522503984929724</v>
      </c>
    </row>
    <row r="161" spans="1:7" ht="12.75" customHeight="1">
      <c r="B161" s="1">
        <v>340</v>
      </c>
      <c r="C161" s="14">
        <f t="shared" si="33"/>
        <v>9.8174770424681035E-2</v>
      </c>
      <c r="D161" s="1">
        <v>3.4</v>
      </c>
      <c r="E161" s="8">
        <v>-28</v>
      </c>
      <c r="F161" s="8">
        <v>-22.4</v>
      </c>
      <c r="G161" s="6">
        <f t="shared" si="1"/>
        <v>-28.422547456890307</v>
      </c>
    </row>
    <row r="162" spans="1:7" ht="12.75" customHeight="1">
      <c r="B162" s="1">
        <v>390</v>
      </c>
      <c r="C162" s="14">
        <f t="shared" si="33"/>
        <v>9.8174770424681035E-2</v>
      </c>
      <c r="D162" s="1">
        <v>3.9</v>
      </c>
      <c r="E162" s="8">
        <v>-28.1</v>
      </c>
      <c r="F162" s="8">
        <v>-23.3</v>
      </c>
      <c r="G162" s="6">
        <f t="shared" si="1"/>
        <v>-28.522503984929724</v>
      </c>
    </row>
    <row r="163" spans="1:7" ht="12.75" customHeight="1">
      <c r="A163" s="1" t="s">
        <v>96</v>
      </c>
      <c r="B163" s="1">
        <v>100</v>
      </c>
      <c r="C163" s="14">
        <f t="shared" si="33"/>
        <v>9.8174770424681035E-2</v>
      </c>
      <c r="D163" s="1">
        <v>3.4</v>
      </c>
      <c r="E163" s="8">
        <v>-26.4</v>
      </c>
      <c r="F163" s="8">
        <v>-17.600000000000001</v>
      </c>
      <c r="G163" s="6">
        <f t="shared" si="1"/>
        <v>-26.823243008259674</v>
      </c>
    </row>
    <row r="164" spans="1:7" ht="12.75" customHeight="1">
      <c r="B164" s="2">
        <f t="shared" ref="B164:B167" si="36">B163+50</f>
        <v>150</v>
      </c>
      <c r="C164" s="14">
        <f t="shared" si="33"/>
        <v>9.8174770424681035E-2</v>
      </c>
      <c r="D164" s="1">
        <v>14.4</v>
      </c>
      <c r="E164" s="8">
        <v>-28.2</v>
      </c>
      <c r="F164" s="8">
        <v>-19.899999999999999</v>
      </c>
      <c r="G164" s="6">
        <f t="shared" si="1"/>
        <v>-28.622460512969134</v>
      </c>
    </row>
    <row r="165" spans="1:7" ht="12.75" customHeight="1">
      <c r="B165" s="2">
        <f t="shared" si="36"/>
        <v>200</v>
      </c>
      <c r="C165" s="14">
        <f t="shared" si="33"/>
        <v>9.8174770424681035E-2</v>
      </c>
      <c r="D165" s="1">
        <v>6.6</v>
      </c>
      <c r="E165" s="8">
        <v>-27.9</v>
      </c>
      <c r="F165" s="8">
        <v>-20.6</v>
      </c>
      <c r="G165" s="6">
        <f t="shared" si="1"/>
        <v>-28.322590928850893</v>
      </c>
    </row>
    <row r="166" spans="1:7" ht="12.75" customHeight="1">
      <c r="B166" s="2">
        <f t="shared" si="36"/>
        <v>250</v>
      </c>
      <c r="C166" s="14">
        <f t="shared" si="33"/>
        <v>9.8174770424681035E-2</v>
      </c>
      <c r="D166" s="1">
        <v>3.6</v>
      </c>
      <c r="E166" s="8">
        <v>-27.8</v>
      </c>
      <c r="F166" s="8">
        <v>-21.3</v>
      </c>
      <c r="G166" s="6">
        <f t="shared" si="1"/>
        <v>-28.222634400811479</v>
      </c>
    </row>
    <row r="167" spans="1:7" ht="12.75" customHeight="1">
      <c r="B167" s="2">
        <f t="shared" si="36"/>
        <v>300</v>
      </c>
      <c r="C167" s="14">
        <f t="shared" si="33"/>
        <v>9.8174770424681035E-2</v>
      </c>
      <c r="D167" s="1">
        <v>3.3</v>
      </c>
      <c r="E167" s="8">
        <v>-27.6</v>
      </c>
      <c r="F167" s="8">
        <v>-22</v>
      </c>
      <c r="G167" s="6">
        <f t="shared" si="1"/>
        <v>-28.022721344732652</v>
      </c>
    </row>
    <row r="168" spans="1:7" ht="12.75" customHeight="1">
      <c r="B168" s="1">
        <v>340</v>
      </c>
      <c r="C168" s="14">
        <f t="shared" si="33"/>
        <v>9.8174770424681035E-2</v>
      </c>
      <c r="D168" s="1">
        <v>3.4</v>
      </c>
      <c r="E168" s="8">
        <v>-27.8</v>
      </c>
      <c r="F168" s="8">
        <v>-22.5</v>
      </c>
      <c r="G168" s="6">
        <f t="shared" si="1"/>
        <v>-28.222634400811479</v>
      </c>
    </row>
    <row r="169" spans="1:7" ht="12.75" customHeight="1">
      <c r="B169" s="1">
        <v>390</v>
      </c>
      <c r="C169" s="14">
        <f t="shared" si="33"/>
        <v>9.8174770424681035E-2</v>
      </c>
      <c r="D169" s="1">
        <v>3.8</v>
      </c>
      <c r="E169" s="8">
        <v>-28</v>
      </c>
      <c r="F169" s="8">
        <v>-23.7</v>
      </c>
      <c r="G169" s="6">
        <f t="shared" si="1"/>
        <v>-28.422547456890307</v>
      </c>
    </row>
    <row r="170" spans="1:7" ht="12.75" customHeight="1">
      <c r="A170" s="1" t="s">
        <v>97</v>
      </c>
      <c r="B170" s="1">
        <v>100</v>
      </c>
      <c r="C170" s="14">
        <f t="shared" ref="C170:C176" si="37">PI()*(1^2)/4 *2</f>
        <v>1.5707963267948966</v>
      </c>
      <c r="D170" s="1">
        <v>5</v>
      </c>
      <c r="E170" s="8">
        <v>-27.6</v>
      </c>
      <c r="F170" s="8">
        <v>-16.899999999999999</v>
      </c>
      <c r="G170" s="6">
        <f t="shared" si="1"/>
        <v>-28.022721344732652</v>
      </c>
    </row>
    <row r="171" spans="1:7" ht="12.75" customHeight="1">
      <c r="B171" s="2">
        <f t="shared" ref="B171:B174" si="38">B170+50</f>
        <v>150</v>
      </c>
      <c r="C171" s="14">
        <f t="shared" si="37"/>
        <v>1.5707963267948966</v>
      </c>
      <c r="D171" s="1">
        <v>12.2</v>
      </c>
      <c r="E171" s="8">
        <v>-29.2</v>
      </c>
      <c r="F171" s="8">
        <v>-18.8</v>
      </c>
      <c r="G171" s="6">
        <f t="shared" si="1"/>
        <v>-29.622025793363282</v>
      </c>
    </row>
    <row r="172" spans="1:7" ht="12.75" customHeight="1">
      <c r="B172" s="2">
        <f t="shared" si="38"/>
        <v>200</v>
      </c>
      <c r="C172" s="14">
        <f t="shared" si="37"/>
        <v>1.5707963267948966</v>
      </c>
      <c r="D172" s="1">
        <v>6.1</v>
      </c>
      <c r="E172" s="8">
        <v>-29.1</v>
      </c>
      <c r="F172" s="8">
        <v>-19.899999999999999</v>
      </c>
      <c r="G172" s="6">
        <f t="shared" si="1"/>
        <v>-29.522069265323868</v>
      </c>
    </row>
    <row r="173" spans="1:7" ht="12.75" customHeight="1">
      <c r="B173" s="2">
        <f t="shared" si="38"/>
        <v>250</v>
      </c>
      <c r="C173" s="14">
        <f t="shared" si="37"/>
        <v>1.5707963267948966</v>
      </c>
      <c r="D173" s="1">
        <v>5.4</v>
      </c>
      <c r="E173" s="8">
        <v>-29.5</v>
      </c>
      <c r="F173" s="8">
        <v>-20.6</v>
      </c>
      <c r="G173" s="6">
        <f t="shared" si="1"/>
        <v>-29.921895377481526</v>
      </c>
    </row>
    <row r="174" spans="1:7" ht="12.75" customHeight="1">
      <c r="B174" s="2">
        <f t="shared" si="38"/>
        <v>300</v>
      </c>
      <c r="C174" s="14">
        <f t="shared" si="37"/>
        <v>1.5707963267948966</v>
      </c>
      <c r="D174" s="1">
        <v>5.8</v>
      </c>
      <c r="E174" s="8">
        <v>-28.5</v>
      </c>
      <c r="F174" s="8">
        <v>-21.7</v>
      </c>
      <c r="G174" s="6">
        <f t="shared" si="1"/>
        <v>-28.922330097087382</v>
      </c>
    </row>
    <row r="175" spans="1:7" ht="12.75" customHeight="1">
      <c r="B175" s="1">
        <v>340</v>
      </c>
      <c r="C175" s="14">
        <f t="shared" si="37"/>
        <v>1.5707963267948966</v>
      </c>
      <c r="D175" s="1">
        <v>6.8</v>
      </c>
      <c r="E175" s="8">
        <v>-28.5</v>
      </c>
      <c r="F175" s="8">
        <v>-23.1</v>
      </c>
      <c r="G175" s="6">
        <f t="shared" si="1"/>
        <v>-28.922330097087382</v>
      </c>
    </row>
    <row r="176" spans="1:7" ht="12.75" customHeight="1">
      <c r="B176" s="1">
        <v>390</v>
      </c>
      <c r="C176" s="14">
        <f t="shared" si="37"/>
        <v>1.5707963267948966</v>
      </c>
      <c r="D176" s="1">
        <v>8.1999999999999993</v>
      </c>
      <c r="E176" s="8">
        <v>-29.1</v>
      </c>
      <c r="F176" s="8">
        <v>-24.4</v>
      </c>
      <c r="G176" s="6">
        <f t="shared" si="1"/>
        <v>-29.522069265323868</v>
      </c>
    </row>
    <row r="177" spans="1:7" ht="12.75" customHeight="1">
      <c r="A177" s="1" t="s">
        <v>98</v>
      </c>
      <c r="B177" s="1">
        <v>100</v>
      </c>
      <c r="C177" s="14">
        <f t="shared" ref="C177:C183" si="39">PI()*(1^2)/4</f>
        <v>0.78539816339744828</v>
      </c>
      <c r="D177" s="1">
        <v>1.1000000000000001</v>
      </c>
      <c r="E177" s="8">
        <v>-26.2</v>
      </c>
      <c r="F177" s="8">
        <v>-15.8</v>
      </c>
      <c r="G177" s="6">
        <f t="shared" si="1"/>
        <v>-26.623329952180846</v>
      </c>
    </row>
    <row r="178" spans="1:7" ht="12.75" customHeight="1">
      <c r="B178" s="2">
        <f t="shared" ref="B178:B181" si="40">B177+50</f>
        <v>150</v>
      </c>
      <c r="C178" s="14">
        <f t="shared" si="39"/>
        <v>0.78539816339744828</v>
      </c>
      <c r="D178" s="1">
        <v>3.9</v>
      </c>
      <c r="E178" s="8">
        <v>-29.9</v>
      </c>
      <c r="F178" s="8">
        <v>-17.399999999999999</v>
      </c>
      <c r="G178" s="6">
        <f t="shared" si="1"/>
        <v>-30.321721489639184</v>
      </c>
    </row>
    <row r="179" spans="1:7" ht="12.75" customHeight="1">
      <c r="B179" s="2">
        <f t="shared" si="40"/>
        <v>200</v>
      </c>
      <c r="C179" s="14">
        <f t="shared" si="39"/>
        <v>0.78539816339744828</v>
      </c>
      <c r="D179" s="1">
        <v>3.6</v>
      </c>
      <c r="E179" s="8">
        <v>-29.4</v>
      </c>
      <c r="F179" s="8">
        <v>-18.5</v>
      </c>
      <c r="G179" s="6">
        <f t="shared" si="1"/>
        <v>-29.821938849442109</v>
      </c>
    </row>
    <row r="180" spans="1:7" ht="12.75" customHeight="1">
      <c r="B180" s="2">
        <f t="shared" si="40"/>
        <v>250</v>
      </c>
      <c r="C180" s="14">
        <f t="shared" si="39"/>
        <v>0.78539816339744828</v>
      </c>
      <c r="D180" s="1">
        <v>3.2</v>
      </c>
      <c r="E180" s="8">
        <v>-28.4</v>
      </c>
      <c r="F180" s="8">
        <v>-19.2</v>
      </c>
      <c r="G180" s="6">
        <f t="shared" si="1"/>
        <v>-28.822373569047965</v>
      </c>
    </row>
    <row r="181" spans="1:7" ht="12.75" customHeight="1">
      <c r="B181" s="2">
        <f t="shared" si="40"/>
        <v>300</v>
      </c>
      <c r="C181" s="14">
        <f t="shared" si="39"/>
        <v>0.78539816339744828</v>
      </c>
      <c r="D181" s="1">
        <v>3.9</v>
      </c>
      <c r="E181" s="8">
        <v>-28.3</v>
      </c>
      <c r="F181" s="8">
        <v>-20.399999999999999</v>
      </c>
      <c r="G181" s="6">
        <f t="shared" si="1"/>
        <v>-28.722417041008551</v>
      </c>
    </row>
    <row r="182" spans="1:7" ht="12.75" customHeight="1">
      <c r="B182" s="1">
        <v>340</v>
      </c>
      <c r="C182" s="14">
        <f t="shared" si="39"/>
        <v>0.78539816339744828</v>
      </c>
      <c r="D182" s="1">
        <v>4.7</v>
      </c>
      <c r="E182" s="8">
        <v>-27.9</v>
      </c>
      <c r="F182" s="8">
        <v>-21.6</v>
      </c>
      <c r="G182" s="6">
        <f t="shared" si="1"/>
        <v>-28.322590928850893</v>
      </c>
    </row>
    <row r="183" spans="1:7" ht="12.75" customHeight="1">
      <c r="B183" s="1">
        <v>390</v>
      </c>
      <c r="C183" s="14">
        <f t="shared" si="39"/>
        <v>0.78539816339744828</v>
      </c>
      <c r="D183" s="1">
        <v>6.3</v>
      </c>
      <c r="E183" s="8">
        <v>-28.4</v>
      </c>
      <c r="F183" s="8">
        <v>-22.9</v>
      </c>
      <c r="G183" s="6">
        <f t="shared" si="1"/>
        <v>-28.822373569047965</v>
      </c>
    </row>
    <row r="184" spans="1:7" ht="12.75" customHeight="1">
      <c r="A184" s="1" t="s">
        <v>99</v>
      </c>
      <c r="B184" s="1">
        <v>100</v>
      </c>
      <c r="C184" s="14">
        <f t="shared" ref="C184:C197" si="41">PI()*(0.5^2)/4</f>
        <v>0.19634954084936207</v>
      </c>
      <c r="D184" s="1">
        <v>0.2</v>
      </c>
      <c r="E184" s="8">
        <v>-22.1</v>
      </c>
      <c r="F184" s="8">
        <v>-13</v>
      </c>
      <c r="G184" s="6">
        <f t="shared" si="1"/>
        <v>-22.52511230256485</v>
      </c>
    </row>
    <row r="185" spans="1:7" ht="12.75" customHeight="1">
      <c r="B185" s="2">
        <f t="shared" ref="B185:B188" si="42">B184+50</f>
        <v>150</v>
      </c>
      <c r="C185" s="14">
        <f t="shared" si="41"/>
        <v>0.19634954084936207</v>
      </c>
      <c r="D185" s="1">
        <v>0.4</v>
      </c>
      <c r="E185" s="8">
        <v>-25.9</v>
      </c>
      <c r="F185" s="8">
        <v>-15.7</v>
      </c>
      <c r="G185" s="6">
        <f t="shared" si="1"/>
        <v>-26.323460368062598</v>
      </c>
    </row>
    <row r="186" spans="1:7" ht="12.75" customHeight="1">
      <c r="B186" s="2">
        <f t="shared" si="42"/>
        <v>200</v>
      </c>
      <c r="C186" s="14">
        <f t="shared" si="41"/>
        <v>0.19634954084936207</v>
      </c>
      <c r="D186" s="1">
        <v>1.6</v>
      </c>
      <c r="E186" s="8">
        <v>-26</v>
      </c>
      <c r="F186" s="8">
        <v>-17.8</v>
      </c>
      <c r="G186" s="6">
        <f t="shared" si="1"/>
        <v>-26.423416896102015</v>
      </c>
    </row>
    <row r="187" spans="1:7" ht="12.75" customHeight="1">
      <c r="B187" s="2">
        <f t="shared" si="42"/>
        <v>250</v>
      </c>
      <c r="C187" s="14">
        <f t="shared" si="41"/>
        <v>0.19634954084936207</v>
      </c>
      <c r="D187" s="1">
        <v>0.6</v>
      </c>
      <c r="E187" s="8">
        <v>-25.2</v>
      </c>
      <c r="F187" s="8">
        <v>-18.3</v>
      </c>
      <c r="G187" s="6">
        <f t="shared" si="1"/>
        <v>-25.623764671786699</v>
      </c>
    </row>
    <row r="188" spans="1:7" ht="12.75" customHeight="1">
      <c r="B188" s="2">
        <f t="shared" si="42"/>
        <v>300</v>
      </c>
      <c r="C188" s="14">
        <f t="shared" si="41"/>
        <v>0.19634954084936207</v>
      </c>
      <c r="D188" s="1">
        <v>0.5</v>
      </c>
      <c r="E188" s="8">
        <v>-25.4</v>
      </c>
      <c r="F188" s="8">
        <v>-19.8</v>
      </c>
      <c r="G188" s="6">
        <f t="shared" si="1"/>
        <v>-25.823677727865526</v>
      </c>
    </row>
    <row r="189" spans="1:7" ht="12.75" customHeight="1">
      <c r="B189" s="1">
        <v>340</v>
      </c>
      <c r="C189" s="14">
        <f t="shared" si="41"/>
        <v>0.19634954084936207</v>
      </c>
      <c r="D189" s="1">
        <v>0.8</v>
      </c>
      <c r="E189" s="8">
        <v>-24.7</v>
      </c>
      <c r="F189" s="8">
        <v>-20.6</v>
      </c>
      <c r="G189" s="6">
        <f t="shared" si="1"/>
        <v>-25.123982031589627</v>
      </c>
    </row>
    <row r="190" spans="1:7" ht="12.75" customHeight="1">
      <c r="B190" s="1">
        <v>390</v>
      </c>
      <c r="C190" s="14">
        <f t="shared" si="41"/>
        <v>0.19634954084936207</v>
      </c>
      <c r="D190" s="1">
        <v>0.7</v>
      </c>
      <c r="E190" s="8">
        <v>-24.8</v>
      </c>
      <c r="F190" s="8">
        <v>-21.7</v>
      </c>
      <c r="G190" s="6">
        <f t="shared" si="1"/>
        <v>-25.22393855962904</v>
      </c>
    </row>
    <row r="191" spans="1:7" ht="12.75" customHeight="1">
      <c r="A191" s="1" t="s">
        <v>100</v>
      </c>
      <c r="B191" s="1">
        <v>100</v>
      </c>
      <c r="C191" s="14">
        <f t="shared" si="41"/>
        <v>0.19634954084936207</v>
      </c>
      <c r="D191" s="1">
        <v>4.7</v>
      </c>
      <c r="E191" s="8">
        <v>-27.2</v>
      </c>
      <c r="F191" s="8">
        <v>-15.8</v>
      </c>
      <c r="G191" s="6">
        <f t="shared" si="1"/>
        <v>-27.62289523257499</v>
      </c>
    </row>
    <row r="192" spans="1:7" ht="12.75" customHeight="1">
      <c r="B192" s="2">
        <f t="shared" ref="B192:B195" si="43">B191+50</f>
        <v>150</v>
      </c>
      <c r="C192" s="14">
        <f t="shared" si="41"/>
        <v>0.19634954084936207</v>
      </c>
      <c r="D192" s="1">
        <v>18.2</v>
      </c>
      <c r="E192" s="8">
        <v>-28.8</v>
      </c>
      <c r="F192" s="8">
        <v>-17.899999999999999</v>
      </c>
      <c r="G192" s="6">
        <f t="shared" si="1"/>
        <v>-29.222199681205623</v>
      </c>
    </row>
    <row r="193" spans="1:7" ht="12.75" customHeight="1">
      <c r="B193" s="2">
        <f t="shared" si="43"/>
        <v>200</v>
      </c>
      <c r="C193" s="14">
        <f t="shared" si="41"/>
        <v>0.19634954084936207</v>
      </c>
      <c r="D193" s="1">
        <v>7.8</v>
      </c>
      <c r="E193" s="8">
        <v>-28.4</v>
      </c>
      <c r="F193" s="8">
        <v>-19.100000000000001</v>
      </c>
      <c r="G193" s="6">
        <f t="shared" si="1"/>
        <v>-28.822373569047965</v>
      </c>
    </row>
    <row r="194" spans="1:7" ht="12.75" customHeight="1">
      <c r="B194" s="2">
        <f t="shared" si="43"/>
        <v>250</v>
      </c>
      <c r="C194" s="14">
        <f t="shared" si="41"/>
        <v>0.19634954084936207</v>
      </c>
      <c r="D194" s="1">
        <v>4.5999999999999996</v>
      </c>
      <c r="E194" s="8">
        <v>-28.2</v>
      </c>
      <c r="F194" s="8">
        <v>-20</v>
      </c>
      <c r="G194" s="6">
        <f t="shared" si="1"/>
        <v>-28.622460512969134</v>
      </c>
    </row>
    <row r="195" spans="1:7" ht="12.75" customHeight="1">
      <c r="B195" s="2">
        <f t="shared" si="43"/>
        <v>300</v>
      </c>
      <c r="C195" s="14">
        <f t="shared" si="41"/>
        <v>0.19634954084936207</v>
      </c>
      <c r="D195" s="1">
        <v>4.0999999999999996</v>
      </c>
      <c r="E195" s="8">
        <v>-28.4</v>
      </c>
      <c r="F195" s="8">
        <v>-20.8</v>
      </c>
      <c r="G195" s="6">
        <f t="shared" si="1"/>
        <v>-28.822373569047965</v>
      </c>
    </row>
    <row r="196" spans="1:7" ht="12.75" customHeight="1">
      <c r="B196" s="1">
        <v>340</v>
      </c>
      <c r="C196" s="14">
        <f t="shared" si="41"/>
        <v>0.19634954084936207</v>
      </c>
      <c r="D196" s="1">
        <v>4.2</v>
      </c>
      <c r="E196" s="8">
        <v>-28.7</v>
      </c>
      <c r="F196" s="8">
        <v>-21.3</v>
      </c>
      <c r="G196" s="6">
        <f t="shared" si="1"/>
        <v>-29.12224315316621</v>
      </c>
    </row>
    <row r="197" spans="1:7" ht="12.75" customHeight="1">
      <c r="B197" s="1">
        <v>390</v>
      </c>
      <c r="C197" s="14">
        <f t="shared" si="41"/>
        <v>0.19634954084936207</v>
      </c>
      <c r="D197" s="1">
        <v>4.7</v>
      </c>
      <c r="E197" s="8">
        <v>-28.5</v>
      </c>
      <c r="F197" s="8">
        <v>-22.4</v>
      </c>
      <c r="G197" s="6">
        <f t="shared" si="1"/>
        <v>-28.922330097087382</v>
      </c>
    </row>
    <row r="198" spans="1:7" ht="12.75" customHeight="1">
      <c r="A198" s="1" t="s">
        <v>101</v>
      </c>
      <c r="B198" s="1">
        <v>100</v>
      </c>
      <c r="C198" s="14">
        <f t="shared" ref="C198:C218" si="44">PI()*(0.5^2)/4 *0.5</f>
        <v>9.8174770424681035E-2</v>
      </c>
      <c r="D198" s="1">
        <v>2.2999999999999998</v>
      </c>
      <c r="E198" s="8">
        <v>-27.5</v>
      </c>
      <c r="F198" s="8">
        <v>-15.6</v>
      </c>
      <c r="G198" s="6">
        <f t="shared" si="1"/>
        <v>-27.922764816693235</v>
      </c>
    </row>
    <row r="199" spans="1:7" ht="12.75" customHeight="1">
      <c r="B199" s="2">
        <f t="shared" ref="B199:B202" si="45">B198+50</f>
        <v>150</v>
      </c>
      <c r="C199" s="14">
        <f t="shared" si="44"/>
        <v>9.8174770424681035E-2</v>
      </c>
      <c r="D199" s="1">
        <v>11.3</v>
      </c>
      <c r="E199" s="8">
        <v>-28.6</v>
      </c>
      <c r="F199" s="8">
        <v>-17.100000000000001</v>
      </c>
      <c r="G199" s="6">
        <f t="shared" si="1"/>
        <v>-29.022286625126796</v>
      </c>
    </row>
    <row r="200" spans="1:7" ht="12.75" customHeight="1">
      <c r="B200" s="2">
        <f t="shared" si="45"/>
        <v>200</v>
      </c>
      <c r="C200" s="14">
        <f t="shared" si="44"/>
        <v>9.8174770424681035E-2</v>
      </c>
      <c r="D200" s="1">
        <v>5.5</v>
      </c>
      <c r="E200" s="8">
        <v>-28.5</v>
      </c>
      <c r="F200" s="8">
        <v>-18.2</v>
      </c>
      <c r="G200" s="6">
        <f t="shared" si="1"/>
        <v>-28.922330097087382</v>
      </c>
    </row>
    <row r="201" spans="1:7" ht="12.75" customHeight="1">
      <c r="B201" s="2">
        <f t="shared" si="45"/>
        <v>250</v>
      </c>
      <c r="C201" s="14">
        <f t="shared" si="44"/>
        <v>9.8174770424681035E-2</v>
      </c>
      <c r="D201" s="1">
        <v>3.2</v>
      </c>
      <c r="E201" s="8">
        <v>-28.4</v>
      </c>
      <c r="F201" s="8">
        <v>-18.3</v>
      </c>
      <c r="G201" s="6">
        <f t="shared" si="1"/>
        <v>-28.822373569047965</v>
      </c>
    </row>
    <row r="202" spans="1:7" ht="12.75" customHeight="1">
      <c r="B202" s="2">
        <f t="shared" si="45"/>
        <v>300</v>
      </c>
      <c r="C202" s="14">
        <f t="shared" si="44"/>
        <v>9.8174770424681035E-2</v>
      </c>
      <c r="D202" s="1">
        <v>2.8</v>
      </c>
      <c r="E202" s="8">
        <v>-28.4</v>
      </c>
      <c r="F202" s="8">
        <v>-19.3</v>
      </c>
      <c r="G202" s="6">
        <f t="shared" si="1"/>
        <v>-28.822373569047965</v>
      </c>
    </row>
    <row r="203" spans="1:7" ht="12.75" customHeight="1">
      <c r="B203" s="1">
        <v>340</v>
      </c>
      <c r="C203" s="14">
        <f t="shared" si="44"/>
        <v>9.8174770424681035E-2</v>
      </c>
      <c r="D203" s="1">
        <v>2.8</v>
      </c>
      <c r="E203" s="8">
        <v>-28.8</v>
      </c>
      <c r="F203" s="8">
        <v>-19.7</v>
      </c>
      <c r="G203" s="6">
        <f t="shared" si="1"/>
        <v>-29.222199681205623</v>
      </c>
    </row>
    <row r="204" spans="1:7" ht="12.75" customHeight="1">
      <c r="B204" s="1">
        <v>390</v>
      </c>
      <c r="C204" s="14">
        <f t="shared" si="44"/>
        <v>9.8174770424681035E-2</v>
      </c>
      <c r="D204" s="1">
        <v>3.3</v>
      </c>
      <c r="E204" s="8">
        <v>-28.8</v>
      </c>
      <c r="F204" s="8">
        <v>-20.5</v>
      </c>
      <c r="G204" s="6">
        <f t="shared" si="1"/>
        <v>-29.222199681205623</v>
      </c>
    </row>
    <row r="205" spans="1:7" ht="12.75" customHeight="1">
      <c r="A205" s="1" t="s">
        <v>103</v>
      </c>
      <c r="B205" s="1">
        <v>100</v>
      </c>
      <c r="C205" s="14">
        <f t="shared" si="44"/>
        <v>9.8174770424681035E-2</v>
      </c>
      <c r="D205" s="1">
        <v>2</v>
      </c>
      <c r="E205" s="8">
        <v>-27.3</v>
      </c>
      <c r="F205" s="8">
        <v>-15.2</v>
      </c>
      <c r="G205" s="6">
        <f t="shared" si="1"/>
        <v>-27.722851760614404</v>
      </c>
    </row>
    <row r="206" spans="1:7" ht="12.75" customHeight="1">
      <c r="B206" s="2">
        <f t="shared" ref="B206:B209" si="46">B205+50</f>
        <v>150</v>
      </c>
      <c r="C206" s="14">
        <f t="shared" si="44"/>
        <v>9.8174770424681035E-2</v>
      </c>
      <c r="D206" s="1">
        <v>9.4</v>
      </c>
      <c r="E206" s="8">
        <v>-28.5</v>
      </c>
      <c r="F206" s="8">
        <v>-17.3</v>
      </c>
      <c r="G206" s="6">
        <f t="shared" si="1"/>
        <v>-28.922330097087382</v>
      </c>
    </row>
    <row r="207" spans="1:7" ht="12.75" customHeight="1">
      <c r="B207" s="2">
        <f t="shared" si="46"/>
        <v>200</v>
      </c>
      <c r="C207" s="14">
        <f t="shared" si="44"/>
        <v>9.8174770424681035E-2</v>
      </c>
      <c r="D207" s="1">
        <v>4.4000000000000004</v>
      </c>
      <c r="E207" s="8">
        <v>-28.4</v>
      </c>
      <c r="F207" s="8">
        <v>-18.3</v>
      </c>
      <c r="G207" s="6">
        <f t="shared" si="1"/>
        <v>-28.822373569047965</v>
      </c>
    </row>
    <row r="208" spans="1:7" ht="12.75" customHeight="1">
      <c r="B208" s="2">
        <f t="shared" si="46"/>
        <v>250</v>
      </c>
      <c r="C208" s="14">
        <f t="shared" si="44"/>
        <v>9.8174770424681035E-2</v>
      </c>
      <c r="D208" s="1">
        <v>2.5</v>
      </c>
      <c r="E208" s="8">
        <v>-28.1</v>
      </c>
      <c r="F208" s="8">
        <v>-19.100000000000001</v>
      </c>
      <c r="G208" s="6">
        <f t="shared" si="1"/>
        <v>-28.522503984929724</v>
      </c>
    </row>
    <row r="209" spans="1:7" ht="12.75" customHeight="1">
      <c r="B209" s="2">
        <f t="shared" si="46"/>
        <v>300</v>
      </c>
      <c r="C209" s="14">
        <f t="shared" si="44"/>
        <v>9.8174770424681035E-2</v>
      </c>
      <c r="D209" s="1">
        <v>2.2000000000000002</v>
      </c>
      <c r="E209" s="8">
        <v>-28.4</v>
      </c>
      <c r="F209" s="8">
        <v>-19.899999999999999</v>
      </c>
      <c r="G209" s="6">
        <f t="shared" si="1"/>
        <v>-28.822373569047965</v>
      </c>
    </row>
    <row r="210" spans="1:7" ht="12.75" customHeight="1">
      <c r="B210" s="1">
        <v>340</v>
      </c>
      <c r="C210" s="14">
        <f t="shared" si="44"/>
        <v>9.8174770424681035E-2</v>
      </c>
      <c r="D210" s="1">
        <v>2.2000000000000002</v>
      </c>
      <c r="E210" s="8">
        <v>-28.7</v>
      </c>
      <c r="F210" s="8">
        <v>-21</v>
      </c>
      <c r="G210" s="6">
        <f t="shared" si="1"/>
        <v>-29.12224315316621</v>
      </c>
    </row>
    <row r="211" spans="1:7" ht="12.75" customHeight="1">
      <c r="B211" s="1">
        <v>390</v>
      </c>
      <c r="C211" s="14">
        <f t="shared" si="44"/>
        <v>9.8174770424681035E-2</v>
      </c>
      <c r="D211" s="1">
        <v>2.6</v>
      </c>
      <c r="E211" s="8">
        <v>-28.5</v>
      </c>
      <c r="F211" s="8">
        <v>-22.1</v>
      </c>
      <c r="G211" s="6">
        <f t="shared" si="1"/>
        <v>-28.922330097087382</v>
      </c>
    </row>
    <row r="212" spans="1:7" ht="12.75" customHeight="1">
      <c r="A212" s="1" t="s">
        <v>104</v>
      </c>
      <c r="B212" s="1">
        <v>100</v>
      </c>
      <c r="C212" s="14">
        <f t="shared" si="44"/>
        <v>9.8174770424681035E-2</v>
      </c>
      <c r="D212" s="1">
        <v>2</v>
      </c>
      <c r="E212" s="8">
        <v>-27.8</v>
      </c>
      <c r="F212" s="8">
        <v>-15.5</v>
      </c>
      <c r="G212" s="6">
        <f t="shared" si="1"/>
        <v>-28.222634400811479</v>
      </c>
    </row>
    <row r="213" spans="1:7" ht="12.75" customHeight="1">
      <c r="B213" s="2">
        <f t="shared" ref="B213:B216" si="47">B212+50</f>
        <v>150</v>
      </c>
      <c r="C213" s="14">
        <f t="shared" si="44"/>
        <v>9.8174770424681035E-2</v>
      </c>
      <c r="D213" s="1">
        <v>13</v>
      </c>
      <c r="E213" s="8">
        <v>-28.4</v>
      </c>
      <c r="F213" s="8">
        <v>-17.2</v>
      </c>
      <c r="G213" s="6">
        <f t="shared" si="1"/>
        <v>-28.822373569047965</v>
      </c>
    </row>
    <row r="214" spans="1:7" ht="12.75" customHeight="1">
      <c r="B214" s="2">
        <f t="shared" si="47"/>
        <v>200</v>
      </c>
      <c r="C214" s="14">
        <f t="shared" si="44"/>
        <v>9.8174770424681035E-2</v>
      </c>
      <c r="D214" s="1">
        <v>6</v>
      </c>
      <c r="E214" s="8">
        <v>-28.6</v>
      </c>
      <c r="F214" s="8">
        <v>-18.399999999999999</v>
      </c>
      <c r="G214" s="6">
        <f t="shared" si="1"/>
        <v>-29.022286625126796</v>
      </c>
    </row>
    <row r="215" spans="1:7" ht="12.75" customHeight="1">
      <c r="B215" s="2">
        <f t="shared" si="47"/>
        <v>250</v>
      </c>
      <c r="C215" s="14">
        <f t="shared" si="44"/>
        <v>9.8174770424681035E-2</v>
      </c>
      <c r="D215" s="1">
        <v>3.3</v>
      </c>
      <c r="E215" s="8">
        <v>-28.4</v>
      </c>
      <c r="F215" s="8">
        <v>-19</v>
      </c>
      <c r="G215" s="6">
        <f t="shared" si="1"/>
        <v>-28.822373569047965</v>
      </c>
    </row>
    <row r="216" spans="1:7" ht="12.75" customHeight="1">
      <c r="B216" s="2">
        <f t="shared" si="47"/>
        <v>300</v>
      </c>
      <c r="C216" s="14">
        <f t="shared" si="44"/>
        <v>9.8174770424681035E-2</v>
      </c>
      <c r="D216" s="1">
        <v>2.9</v>
      </c>
      <c r="E216" s="8">
        <v>-28</v>
      </c>
      <c r="F216" s="8">
        <v>-19.5</v>
      </c>
      <c r="G216" s="6">
        <f t="shared" si="1"/>
        <v>-28.422547456890307</v>
      </c>
    </row>
    <row r="217" spans="1:7" ht="12.75" customHeight="1">
      <c r="B217" s="1">
        <v>340</v>
      </c>
      <c r="C217" s="14">
        <f t="shared" si="44"/>
        <v>9.8174770424681035E-2</v>
      </c>
      <c r="D217" s="1">
        <v>2.9</v>
      </c>
      <c r="E217" s="8">
        <v>-28.6</v>
      </c>
      <c r="F217" s="8">
        <v>-20.399999999999999</v>
      </c>
      <c r="G217" s="6">
        <f t="shared" si="1"/>
        <v>-29.022286625126796</v>
      </c>
    </row>
    <row r="218" spans="1:7" ht="12.75" customHeight="1">
      <c r="B218" s="1">
        <v>390</v>
      </c>
      <c r="C218" s="14">
        <f t="shared" si="44"/>
        <v>9.8174770424681035E-2</v>
      </c>
      <c r="D218" s="1">
        <v>3.3</v>
      </c>
      <c r="E218" s="8">
        <v>-28.5</v>
      </c>
      <c r="F218" s="8">
        <v>-21.3</v>
      </c>
      <c r="G218" s="6">
        <f t="shared" si="1"/>
        <v>-28.922330097087382</v>
      </c>
    </row>
    <row r="219" spans="1:7" ht="12.75" customHeight="1">
      <c r="A219" s="1" t="s">
        <v>105</v>
      </c>
      <c r="B219" s="1">
        <v>100</v>
      </c>
      <c r="C219" s="14">
        <f t="shared" ref="C219:C225" si="48">PI()*(1^2)/4 *0.5</f>
        <v>0.39269908169872414</v>
      </c>
      <c r="D219" s="1">
        <v>4.2</v>
      </c>
      <c r="E219" s="8">
        <v>-26.3</v>
      </c>
      <c r="F219" s="8">
        <v>-15.7</v>
      </c>
      <c r="G219" s="6">
        <f t="shared" si="1"/>
        <v>-26.72328648022026</v>
      </c>
    </row>
    <row r="220" spans="1:7" ht="12.75" customHeight="1">
      <c r="B220" s="2">
        <f t="shared" ref="B220:B223" si="49">B219+50</f>
        <v>150</v>
      </c>
      <c r="C220" s="14">
        <f t="shared" si="48"/>
        <v>0.39269908169872414</v>
      </c>
      <c r="D220" s="1">
        <v>14</v>
      </c>
      <c r="E220" s="8">
        <v>-28.7</v>
      </c>
      <c r="F220" s="8">
        <v>-17.600000000000001</v>
      </c>
      <c r="G220" s="6">
        <f t="shared" si="1"/>
        <v>-29.12224315316621</v>
      </c>
    </row>
    <row r="221" spans="1:7" ht="12.75" customHeight="1">
      <c r="B221" s="2">
        <f t="shared" si="49"/>
        <v>200</v>
      </c>
      <c r="C221" s="14">
        <f t="shared" si="48"/>
        <v>0.39269908169872414</v>
      </c>
      <c r="D221" s="1">
        <v>8.5</v>
      </c>
      <c r="E221" s="8">
        <v>-28.4</v>
      </c>
      <c r="F221" s="8">
        <v>-18.7</v>
      </c>
      <c r="G221" s="6">
        <f t="shared" si="1"/>
        <v>-28.822373569047965</v>
      </c>
    </row>
    <row r="222" spans="1:7" ht="12.75" customHeight="1">
      <c r="B222" s="2">
        <f t="shared" si="49"/>
        <v>250</v>
      </c>
      <c r="C222" s="14">
        <f t="shared" si="48"/>
        <v>0.39269908169872414</v>
      </c>
      <c r="D222" s="1">
        <v>5.6</v>
      </c>
      <c r="E222" s="8">
        <v>-28.2</v>
      </c>
      <c r="F222" s="8">
        <v>-19.100000000000001</v>
      </c>
      <c r="G222" s="6">
        <f t="shared" si="1"/>
        <v>-28.622460512969134</v>
      </c>
    </row>
    <row r="223" spans="1:7" ht="12.75" customHeight="1">
      <c r="B223" s="2">
        <f t="shared" si="49"/>
        <v>300</v>
      </c>
      <c r="C223" s="14">
        <f t="shared" si="48"/>
        <v>0.39269908169872414</v>
      </c>
      <c r="D223" s="1">
        <v>5.6</v>
      </c>
      <c r="E223" s="8">
        <v>-29.1</v>
      </c>
      <c r="F223" s="8">
        <v>-19.2</v>
      </c>
      <c r="G223" s="6">
        <f t="shared" si="1"/>
        <v>-29.522069265323868</v>
      </c>
    </row>
    <row r="224" spans="1:7" ht="12.75" customHeight="1">
      <c r="B224" s="1">
        <v>340</v>
      </c>
      <c r="C224" s="14">
        <f t="shared" si="48"/>
        <v>0.39269908169872414</v>
      </c>
      <c r="D224" s="1">
        <v>6.1</v>
      </c>
      <c r="E224" s="8">
        <v>-29.3</v>
      </c>
      <c r="F224" s="8">
        <v>-20.100000000000001</v>
      </c>
      <c r="G224" s="6">
        <f t="shared" si="1"/>
        <v>-29.721982321402699</v>
      </c>
    </row>
    <row r="225" spans="2:7" ht="12.75" customHeight="1">
      <c r="B225" s="1">
        <v>390</v>
      </c>
      <c r="C225" s="14">
        <f t="shared" si="48"/>
        <v>0.39269908169872414</v>
      </c>
      <c r="D225" s="1">
        <v>6.7</v>
      </c>
      <c r="E225" s="8">
        <v>-29.1</v>
      </c>
      <c r="F225" s="8">
        <v>-21.2</v>
      </c>
      <c r="G225" s="6">
        <f t="shared" si="1"/>
        <v>-29.522069265323868</v>
      </c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9"/>
  <sheetViews>
    <sheetView workbookViewId="0">
      <pane xSplit="5" ySplit="2" topLeftCell="AI102" activePane="bottomRight" state="frozen"/>
      <selection pane="topRight" activeCell="F1" sqref="F1"/>
      <selection pane="bottomLeft" activeCell="A3" sqref="A3"/>
      <selection pane="bottomRight" activeCell="AJ1" sqref="AJ1"/>
    </sheetView>
  </sheetViews>
  <sheetFormatPr baseColWidth="10" defaultColWidth="14.5" defaultRowHeight="12.75" customHeight="1" x14ac:dyDescent="0"/>
  <cols>
    <col min="1" max="1" width="17.33203125" customWidth="1"/>
    <col min="2" max="2" width="9.33203125" customWidth="1"/>
    <col min="3" max="4" width="11.5" customWidth="1"/>
    <col min="5" max="5" width="7.6640625" customWidth="1"/>
    <col min="6" max="9" width="17.33203125" customWidth="1"/>
    <col min="10" max="11" width="22.5" customWidth="1"/>
    <col min="12" max="16" width="17.33203125" customWidth="1"/>
    <col min="17" max="18" width="23.5" customWidth="1"/>
    <col min="19" max="19" width="17.33203125" customWidth="1"/>
    <col min="20" max="21" width="25.6640625" customWidth="1"/>
    <col min="22" max="23" width="17.33203125" customWidth="1"/>
    <col min="24" max="24" width="24.6640625" customWidth="1"/>
    <col min="25" max="25" width="24.5" customWidth="1"/>
    <col min="26" max="37" width="17.33203125" customWidth="1"/>
    <col min="38" max="38" width="15.33203125" customWidth="1"/>
    <col min="39" max="39" width="19.83203125" customWidth="1"/>
    <col min="40" max="40" width="10.5" customWidth="1"/>
    <col min="41" max="41" width="9.6640625" customWidth="1"/>
    <col min="42" max="42" width="21.1640625" customWidth="1"/>
  </cols>
  <sheetData>
    <row r="1" spans="1:42" ht="12.75" customHeight="1">
      <c r="A1" s="1" t="s">
        <v>41</v>
      </c>
      <c r="D1" s="15"/>
      <c r="E1" s="6"/>
      <c r="F1" s="2" t="str">
        <f>'IRMS data'!$A58</f>
        <v>20101001_bk_f30_7step</v>
      </c>
      <c r="G1" s="2" t="str">
        <f>'IRMS data'!$A65</f>
        <v>20101001_bk_f30_7step_2</v>
      </c>
      <c r="H1" s="2" t="str">
        <f>'IRMS data'!$A79</f>
        <v>20121002_bk_f30_7step_4</v>
      </c>
      <c r="I1" s="2" t="str">
        <f>'IRMS data'!$A72</f>
        <v>20101002_bk_f30_7step_3</v>
      </c>
      <c r="J1" s="2" t="str">
        <f>'IRMS data'!$A16</f>
        <v>120926_bk_f41_7step_1</v>
      </c>
      <c r="K1" s="2" t="str">
        <f>'IRMS data'!$A23</f>
        <v>120926_bk_f41_7step_2</v>
      </c>
      <c r="L1" s="2" t="str">
        <f>'IRMS data'!$A86</f>
        <v>20121002_bk_f41_7step_3</v>
      </c>
      <c r="M1" s="2" t="str">
        <f>'IRMS data'!$A93</f>
        <v>20121002_bk_f41_7step_4</v>
      </c>
      <c r="N1" s="2" t="str">
        <f>'IRMS data'!$A100</f>
        <v>20121003_bk_f41_7step_5</v>
      </c>
      <c r="O1" s="2" t="str">
        <f>'IRMS data'!$A107</f>
        <v>20121003_bk_f41_7step_6</v>
      </c>
      <c r="P1" s="2" t="str">
        <f>'IRMS data'!$A114</f>
        <v>20121003_bk_f41_7step_7</v>
      </c>
      <c r="Q1" s="2" t="str">
        <f>'IRMS data'!$A30</f>
        <v>120926_bk3_f21_7step_1</v>
      </c>
      <c r="R1" s="2" t="str">
        <f>'IRMS data'!$A37</f>
        <v>120927_bk3_f21_7step_2</v>
      </c>
      <c r="S1" s="2" t="str">
        <f>'IRMS data'!$A121</f>
        <v>20121004_bk3_f21_7step_5</v>
      </c>
      <c r="T1" s="2" t="str">
        <f>'IRMS data'!$A44</f>
        <v>20120927_bk3_f21_7step_3</v>
      </c>
      <c r="U1" s="2" t="str">
        <f>'IRMS data'!$A51</f>
        <v>20120928_bk3_f21_7step_4</v>
      </c>
      <c r="V1" s="2" t="str">
        <f>'IRMS data'!$A128</f>
        <v>20121004_bk3_f21_7step_6</v>
      </c>
      <c r="W1" s="2" t="str">
        <f>'IRMS data'!$A219</f>
        <v>20121005_alpi_f2_7step_1</v>
      </c>
      <c r="X1" s="2" t="str">
        <f>'IRMS data'!$A135</f>
        <v>20121004_alpi_f3_7step_1</v>
      </c>
      <c r="Y1" s="2" t="str">
        <f>'IRMS data'!$A177</f>
        <v>20121004_alpi_f3_7step_2</v>
      </c>
      <c r="Z1" s="2" t="str">
        <f>'IRMS data'!$A142</f>
        <v>20121004_alpi_f4_7step_1</v>
      </c>
      <c r="AA1" s="2" t="str">
        <f>'IRMS data'!$A149</f>
        <v>20121004_alpi_f4_7step_2</v>
      </c>
      <c r="AB1" s="2" t="str">
        <f>'IRMS data'!$A156</f>
        <v>20121004_alpi_f4_7step_3</v>
      </c>
      <c r="AC1" s="2" t="str">
        <f>'IRMS data'!$A163</f>
        <v>20121004_alpi_f4_7step_4</v>
      </c>
      <c r="AD1" s="2" t="str">
        <f>'IRMS data'!$A170</f>
        <v>20121004_alpi_f5_7step_1</v>
      </c>
      <c r="AE1" s="2" t="str">
        <f>'IRMS data'!$A2</f>
        <v>120924_alpi_f6_7step</v>
      </c>
      <c r="AF1" s="2" t="str">
        <f>'IRMS data'!$A9</f>
        <v>120924_alpi_f6_7step_2</v>
      </c>
      <c r="AG1" s="2" t="str">
        <f>'IRMS data'!$A191</f>
        <v>20121005_alpi_f6_7step_3</v>
      </c>
      <c r="AH1" s="2" t="str">
        <f>'IRMS data'!$A198</f>
        <v>20121005_alpi_f8_7step_1</v>
      </c>
      <c r="AI1" s="2" t="str">
        <f>'IRMS data'!$A205</f>
        <v>20121005_alpi_f8_7step_2</v>
      </c>
      <c r="AJ1" s="2" t="str">
        <f>'IRMS data'!$A212</f>
        <v>20121005_alpi_f8_7step_3</v>
      </c>
      <c r="AK1" s="17"/>
      <c r="AL1" s="18"/>
      <c r="AM1" s="15"/>
      <c r="AN1" s="15"/>
      <c r="AO1" s="15"/>
      <c r="AP1" s="1"/>
    </row>
    <row r="2" spans="1:42" ht="12.75" customHeight="1">
      <c r="A2" s="1" t="s">
        <v>54</v>
      </c>
      <c r="B2" s="1" t="s">
        <v>56</v>
      </c>
      <c r="C2" s="1" t="s">
        <v>57</v>
      </c>
      <c r="D2" s="19" t="s">
        <v>58</v>
      </c>
      <c r="E2" s="8" t="s">
        <v>59</v>
      </c>
      <c r="AK2" s="17"/>
      <c r="AL2" s="20" t="s">
        <v>60</v>
      </c>
      <c r="AM2" s="19" t="s">
        <v>61</v>
      </c>
      <c r="AN2" s="8" t="s">
        <v>62</v>
      </c>
      <c r="AO2" s="8" t="s">
        <v>59</v>
      </c>
      <c r="AP2" s="19" t="s">
        <v>63</v>
      </c>
    </row>
    <row r="3" spans="1:42" ht="12.75" customHeight="1">
      <c r="A3" s="2" t="str">
        <f>CONCATENATE(overview!$C12," ",overview!$D12)</f>
        <v>handling blank backup</v>
      </c>
      <c r="B3" s="1" t="s">
        <v>64</v>
      </c>
      <c r="C3" s="1">
        <v>100</v>
      </c>
      <c r="D3" s="21">
        <f t="shared" ref="D3:D9" si="0">AVERAGE(F3:H3)</f>
        <v>0.23333333333333331</v>
      </c>
      <c r="E3" s="6">
        <f t="shared" ref="E3:E9" si="1">STDEV(F3:H3)</f>
        <v>5.7735026918962762E-2</v>
      </c>
      <c r="F3" s="6">
        <f>'IRMS data'!$D58</f>
        <v>0.3</v>
      </c>
      <c r="G3" s="6">
        <f>'IRMS data'!$D65</f>
        <v>0.2</v>
      </c>
      <c r="H3" s="6">
        <f>'IRMS data'!$D79</f>
        <v>0.2</v>
      </c>
      <c r="AK3" s="17"/>
      <c r="AL3" s="18">
        <f t="shared" ref="AL3:AL9" si="2">PI()/4 *2</f>
        <v>1.5707963267948966</v>
      </c>
      <c r="AM3" s="15">
        <f t="shared" ref="AM3:AM51" si="3">D3/AL3</f>
        <v>0.14854461355243564</v>
      </c>
      <c r="AN3" s="6">
        <f t="shared" ref="AN3:AN9" si="4">AVERAGE(AM3,AM10)</f>
        <v>0.20159626124973409</v>
      </c>
      <c r="AO3" s="6">
        <f t="shared" ref="AO3:AO9" si="5">STDEV(AM3,AM10)</f>
        <v>7.5026359679758806E-2</v>
      </c>
    </row>
    <row r="4" spans="1:42" ht="12.75" customHeight="1">
      <c r="C4" s="2">
        <f t="shared" ref="C4:C7" si="6">C3+50</f>
        <v>150</v>
      </c>
      <c r="D4" s="21">
        <f t="shared" si="0"/>
        <v>0.3</v>
      </c>
      <c r="E4" s="6">
        <f t="shared" si="1"/>
        <v>0</v>
      </c>
      <c r="F4" s="6">
        <f>'IRMS data'!$D59</f>
        <v>0.3</v>
      </c>
      <c r="G4" s="6">
        <f>'IRMS data'!$D66</f>
        <v>0.3</v>
      </c>
      <c r="H4" s="6">
        <f>'IRMS data'!$D80</f>
        <v>0.3</v>
      </c>
      <c r="AK4" s="17"/>
      <c r="AL4" s="18">
        <f t="shared" si="2"/>
        <v>1.5707963267948966</v>
      </c>
      <c r="AM4" s="15">
        <f t="shared" si="3"/>
        <v>0.19098593171027439</v>
      </c>
      <c r="AN4" s="6">
        <f t="shared" si="4"/>
        <v>0.22281692032865347</v>
      </c>
      <c r="AO4" s="6">
        <f t="shared" si="5"/>
        <v>4.5015815807855394E-2</v>
      </c>
    </row>
    <row r="5" spans="1:42" ht="12.75" customHeight="1">
      <c r="C5" s="2">
        <f t="shared" si="6"/>
        <v>200</v>
      </c>
      <c r="D5" s="21">
        <f t="shared" si="0"/>
        <v>0.26666666666666666</v>
      </c>
      <c r="E5" s="6">
        <f t="shared" si="1"/>
        <v>5.7735026918962401E-2</v>
      </c>
      <c r="F5" s="6">
        <f>'IRMS data'!$D60</f>
        <v>0.2</v>
      </c>
      <c r="G5" s="6">
        <f>'IRMS data'!$D67</f>
        <v>0.3</v>
      </c>
      <c r="H5" s="6">
        <f>'IRMS data'!$D81</f>
        <v>0.3</v>
      </c>
      <c r="AK5" s="17"/>
      <c r="AL5" s="18">
        <f t="shared" si="2"/>
        <v>1.5707963267948966</v>
      </c>
      <c r="AM5" s="15">
        <f t="shared" si="3"/>
        <v>0.16976527263135502</v>
      </c>
      <c r="AN5" s="6">
        <f t="shared" si="4"/>
        <v>0.21220659078919379</v>
      </c>
      <c r="AO5" s="6">
        <f t="shared" si="5"/>
        <v>6.0021087743806961E-2</v>
      </c>
    </row>
    <row r="6" spans="1:42" ht="12.75" customHeight="1">
      <c r="C6" s="2">
        <f t="shared" si="6"/>
        <v>250</v>
      </c>
      <c r="D6" s="21">
        <f t="shared" si="0"/>
        <v>0.43333333333333335</v>
      </c>
      <c r="E6" s="6">
        <f t="shared" si="1"/>
        <v>5.7735026918962762E-2</v>
      </c>
      <c r="F6" s="6">
        <f>'IRMS data'!$D61</f>
        <v>0.4</v>
      </c>
      <c r="G6" s="6">
        <f>'IRMS data'!$D68</f>
        <v>0.5</v>
      </c>
      <c r="H6" s="6">
        <f>'IRMS data'!$D82</f>
        <v>0.4</v>
      </c>
      <c r="AK6" s="17"/>
      <c r="AL6" s="18">
        <f t="shared" si="2"/>
        <v>1.5707963267948966</v>
      </c>
      <c r="AM6" s="15">
        <f t="shared" si="3"/>
        <v>0.27586856802595194</v>
      </c>
      <c r="AN6" s="6">
        <f t="shared" si="4"/>
        <v>0.32892021572325036</v>
      </c>
      <c r="AO6" s="6">
        <f t="shared" si="5"/>
        <v>7.5026359679758903E-2</v>
      </c>
    </row>
    <row r="7" spans="1:42" ht="12.75" customHeight="1">
      <c r="C7" s="2">
        <f t="shared" si="6"/>
        <v>300</v>
      </c>
      <c r="D7" s="21">
        <f t="shared" si="0"/>
        <v>0.33333333333333331</v>
      </c>
      <c r="E7" s="6">
        <f t="shared" si="1"/>
        <v>5.7735026918962762E-2</v>
      </c>
      <c r="F7" s="6">
        <f>'IRMS data'!$D62</f>
        <v>0.3</v>
      </c>
      <c r="G7" s="6">
        <f>'IRMS data'!$D69</f>
        <v>0.3</v>
      </c>
      <c r="H7" s="6">
        <f>'IRMS data'!$D83</f>
        <v>0.4</v>
      </c>
      <c r="AK7" s="17"/>
      <c r="AL7" s="18">
        <f t="shared" si="2"/>
        <v>1.5707963267948966</v>
      </c>
      <c r="AM7" s="15">
        <f t="shared" si="3"/>
        <v>0.21220659078919377</v>
      </c>
      <c r="AN7" s="6">
        <f t="shared" si="4"/>
        <v>0.29708922710487129</v>
      </c>
      <c r="AO7" s="6">
        <f t="shared" si="5"/>
        <v>0.12004217548761416</v>
      </c>
    </row>
    <row r="8" spans="1:42" ht="12.75" customHeight="1">
      <c r="C8" s="1">
        <v>340</v>
      </c>
      <c r="D8" s="21">
        <f t="shared" si="0"/>
        <v>0.43333333333333335</v>
      </c>
      <c r="E8" s="6">
        <f t="shared" si="1"/>
        <v>5.7735026918962762E-2</v>
      </c>
      <c r="F8" s="6">
        <f>'IRMS data'!$D63</f>
        <v>0.4</v>
      </c>
      <c r="G8" s="6">
        <f>'IRMS data'!$D70</f>
        <v>0.4</v>
      </c>
      <c r="H8" s="6">
        <f>'IRMS data'!$D84</f>
        <v>0.5</v>
      </c>
      <c r="AK8" s="17"/>
      <c r="AL8" s="18">
        <f t="shared" si="2"/>
        <v>1.5707963267948966</v>
      </c>
      <c r="AM8" s="15">
        <f t="shared" si="3"/>
        <v>0.27586856802595194</v>
      </c>
      <c r="AN8" s="6">
        <f t="shared" si="4"/>
        <v>0.39258219296000851</v>
      </c>
      <c r="AO8" s="6">
        <f t="shared" si="5"/>
        <v>0.1650579912954695</v>
      </c>
    </row>
    <row r="9" spans="1:42" ht="12.75" customHeight="1">
      <c r="C9" s="1">
        <v>390</v>
      </c>
      <c r="D9" s="21">
        <f t="shared" si="0"/>
        <v>0.6333333333333333</v>
      </c>
      <c r="E9" s="6">
        <f t="shared" si="1"/>
        <v>0.11547005383792504</v>
      </c>
      <c r="F9" s="6">
        <f>'IRMS data'!$D64</f>
        <v>0.7</v>
      </c>
      <c r="G9" s="6">
        <f>'IRMS data'!$D71</f>
        <v>0.5</v>
      </c>
      <c r="H9" s="6">
        <f>'IRMS data'!$D85</f>
        <v>0.7</v>
      </c>
      <c r="AK9" s="17"/>
      <c r="AL9" s="18">
        <f t="shared" si="2"/>
        <v>1.5707963267948966</v>
      </c>
      <c r="AM9" s="15">
        <f t="shared" si="3"/>
        <v>0.40319252249946819</v>
      </c>
      <c r="AN9" s="6">
        <f t="shared" si="4"/>
        <v>0.51990614743352481</v>
      </c>
      <c r="AO9" s="6">
        <f t="shared" si="5"/>
        <v>0.16505799129546916</v>
      </c>
    </row>
    <row r="10" spans="1:42" ht="12.75" customHeight="1">
      <c r="B10" s="1" t="s">
        <v>81</v>
      </c>
      <c r="C10" s="1">
        <v>100</v>
      </c>
      <c r="D10" s="15">
        <f t="shared" ref="D10:D16" si="7">I10</f>
        <v>0.2</v>
      </c>
      <c r="E10" s="6">
        <f t="shared" ref="E10:E16" si="8">I10/100*5</f>
        <v>0.01</v>
      </c>
      <c r="I10" s="6">
        <f>'IRMS data'!$D72</f>
        <v>0.2</v>
      </c>
      <c r="AK10" s="17"/>
      <c r="AL10" s="18">
        <f t="shared" ref="AL10:AL23" si="9">PI()/4</f>
        <v>0.78539816339744828</v>
      </c>
      <c r="AM10" s="15">
        <f t="shared" si="3"/>
        <v>0.25464790894703254</v>
      </c>
      <c r="AN10" s="15"/>
      <c r="AO10" s="15"/>
    </row>
    <row r="11" spans="1:42" ht="12.75" customHeight="1">
      <c r="C11" s="2">
        <f t="shared" ref="C11:C14" si="10">C10+50</f>
        <v>150</v>
      </c>
      <c r="D11" s="15">
        <f t="shared" si="7"/>
        <v>0.2</v>
      </c>
      <c r="E11" s="6">
        <f t="shared" si="8"/>
        <v>0.01</v>
      </c>
      <c r="I11" s="6">
        <f>'IRMS data'!$D73</f>
        <v>0.2</v>
      </c>
      <c r="AK11" s="17"/>
      <c r="AL11" s="18">
        <f t="shared" si="9"/>
        <v>0.78539816339744828</v>
      </c>
      <c r="AM11" s="15">
        <f t="shared" si="3"/>
        <v>0.25464790894703254</v>
      </c>
      <c r="AN11" s="15"/>
      <c r="AO11" s="15"/>
    </row>
    <row r="12" spans="1:42" ht="12.75" customHeight="1">
      <c r="C12" s="2">
        <f t="shared" si="10"/>
        <v>200</v>
      </c>
      <c r="D12" s="15">
        <f t="shared" si="7"/>
        <v>0.2</v>
      </c>
      <c r="E12" s="6">
        <f t="shared" si="8"/>
        <v>0.01</v>
      </c>
      <c r="I12" s="6">
        <f>'IRMS data'!$D74</f>
        <v>0.2</v>
      </c>
      <c r="AK12" s="17"/>
      <c r="AL12" s="18">
        <f t="shared" si="9"/>
        <v>0.78539816339744828</v>
      </c>
      <c r="AM12" s="15">
        <f t="shared" si="3"/>
        <v>0.25464790894703254</v>
      </c>
      <c r="AN12" s="15"/>
      <c r="AO12" s="15"/>
    </row>
    <row r="13" spans="1:42" ht="12.75" customHeight="1">
      <c r="C13" s="2">
        <f t="shared" si="10"/>
        <v>250</v>
      </c>
      <c r="D13" s="15">
        <f t="shared" si="7"/>
        <v>0.3</v>
      </c>
      <c r="E13" s="6">
        <f t="shared" si="8"/>
        <v>1.4999999999999999E-2</v>
      </c>
      <c r="I13" s="6">
        <f>'IRMS data'!$D75</f>
        <v>0.3</v>
      </c>
      <c r="AK13" s="17"/>
      <c r="AL13" s="18">
        <f t="shared" si="9"/>
        <v>0.78539816339744828</v>
      </c>
      <c r="AM13" s="15">
        <f t="shared" si="3"/>
        <v>0.38197186342054879</v>
      </c>
      <c r="AN13" s="15"/>
      <c r="AO13" s="15"/>
    </row>
    <row r="14" spans="1:42" ht="12.75" customHeight="1">
      <c r="C14" s="2">
        <f t="shared" si="10"/>
        <v>300</v>
      </c>
      <c r="D14" s="15">
        <f t="shared" si="7"/>
        <v>0.3</v>
      </c>
      <c r="E14" s="6">
        <f t="shared" si="8"/>
        <v>1.4999999999999999E-2</v>
      </c>
      <c r="I14" s="6">
        <f>'IRMS data'!$D76</f>
        <v>0.3</v>
      </c>
      <c r="AK14" s="17"/>
      <c r="AL14" s="18">
        <f t="shared" si="9"/>
        <v>0.78539816339744828</v>
      </c>
      <c r="AM14" s="15">
        <f t="shared" si="3"/>
        <v>0.38197186342054879</v>
      </c>
      <c r="AN14" s="15"/>
      <c r="AO14" s="15"/>
    </row>
    <row r="15" spans="1:42" ht="12.75" customHeight="1">
      <c r="C15" s="1">
        <v>340</v>
      </c>
      <c r="D15" s="15">
        <f t="shared" si="7"/>
        <v>0.4</v>
      </c>
      <c r="E15" s="6">
        <f t="shared" si="8"/>
        <v>0.02</v>
      </c>
      <c r="I15" s="6">
        <f>'IRMS data'!$D77</f>
        <v>0.4</v>
      </c>
      <c r="AK15" s="17"/>
      <c r="AL15" s="18">
        <f t="shared" si="9"/>
        <v>0.78539816339744828</v>
      </c>
      <c r="AM15" s="15">
        <f t="shared" si="3"/>
        <v>0.50929581789406508</v>
      </c>
      <c r="AN15" s="15"/>
      <c r="AO15" s="15"/>
    </row>
    <row r="16" spans="1:42" ht="12.75" customHeight="1">
      <c r="C16" s="1">
        <v>390</v>
      </c>
      <c r="D16" s="15">
        <f t="shared" si="7"/>
        <v>0.5</v>
      </c>
      <c r="E16" s="6">
        <f t="shared" si="8"/>
        <v>2.5000000000000001E-2</v>
      </c>
      <c r="I16" s="6">
        <f>'IRMS data'!$D78</f>
        <v>0.5</v>
      </c>
      <c r="AK16" s="17"/>
      <c r="AL16" s="18">
        <f t="shared" si="9"/>
        <v>0.78539816339744828</v>
      </c>
      <c r="AM16" s="15">
        <f t="shared" si="3"/>
        <v>0.63661977236758138</v>
      </c>
      <c r="AN16" s="15"/>
      <c r="AO16" s="15"/>
    </row>
    <row r="17" spans="1:41" ht="12.75" customHeight="1">
      <c r="A17" s="2" t="str">
        <f>CONCATENATE(overview!$C13," ",overview!$D13)</f>
        <v>handling blank front</v>
      </c>
      <c r="B17" s="1" t="s">
        <v>84</v>
      </c>
      <c r="C17" s="1">
        <v>100</v>
      </c>
      <c r="D17" s="21">
        <f t="shared" ref="D17:D23" si="11">AVERAGE(J17:L17)</f>
        <v>0.23333333333333331</v>
      </c>
      <c r="E17" s="6">
        <f t="shared" ref="E17:E23" si="12">STDEV(J17:L17)</f>
        <v>5.7735026918962762E-2</v>
      </c>
      <c r="J17" s="6">
        <f>'IRMS data'!$D16</f>
        <v>0.2</v>
      </c>
      <c r="K17" s="6">
        <f>'IRMS data'!$D23</f>
        <v>0.2</v>
      </c>
      <c r="L17" s="6">
        <f>'IRMS data'!$D86</f>
        <v>0.3</v>
      </c>
      <c r="AK17" s="17"/>
      <c r="AL17" s="18">
        <f t="shared" si="9"/>
        <v>0.78539816339744828</v>
      </c>
      <c r="AM17" s="15">
        <f t="shared" si="3"/>
        <v>0.29708922710487129</v>
      </c>
      <c r="AN17" s="6">
        <f t="shared" ref="AN17:AN23" si="13">AVERAGE(AM17,AM24)</f>
        <v>0.57295779513082312</v>
      </c>
      <c r="AO17" s="6">
        <f t="shared" ref="AO17:AO23" si="14">STDEV(AM17,AM24)</f>
        <v>0.39013707033474615</v>
      </c>
    </row>
    <row r="18" spans="1:41" ht="12.75" customHeight="1">
      <c r="C18" s="2">
        <f t="shared" ref="C18:C21" si="15">C17+50</f>
        <v>150</v>
      </c>
      <c r="D18" s="21">
        <f t="shared" si="11"/>
        <v>0.23333333333333331</v>
      </c>
      <c r="E18" s="6">
        <f t="shared" si="12"/>
        <v>5.7735026918962762E-2</v>
      </c>
      <c r="J18" s="6">
        <f>'IRMS data'!$D17</f>
        <v>0.2</v>
      </c>
      <c r="K18" s="6">
        <f>'IRMS data'!$D24</f>
        <v>0.2</v>
      </c>
      <c r="L18" s="6">
        <f>'IRMS data'!$D87</f>
        <v>0.3</v>
      </c>
      <c r="AK18" s="17"/>
      <c r="AL18" s="18">
        <f t="shared" si="9"/>
        <v>0.78539816339744828</v>
      </c>
      <c r="AM18" s="15">
        <f t="shared" si="3"/>
        <v>0.29708922710487129</v>
      </c>
      <c r="AN18" s="6">
        <f t="shared" si="13"/>
        <v>0.65784043144650084</v>
      </c>
      <c r="AO18" s="6">
        <f t="shared" si="14"/>
        <v>0.51017924582236029</v>
      </c>
    </row>
    <row r="19" spans="1:41" ht="12.75" customHeight="1">
      <c r="C19" s="2">
        <f t="shared" si="15"/>
        <v>200</v>
      </c>
      <c r="D19" s="21">
        <f t="shared" si="11"/>
        <v>0.33333333333333331</v>
      </c>
      <c r="E19" s="6">
        <f t="shared" si="12"/>
        <v>5.7735026918962519E-2</v>
      </c>
      <c r="J19" s="6">
        <f>'IRMS data'!$D18</f>
        <v>0.4</v>
      </c>
      <c r="K19" s="6">
        <f>'IRMS data'!$D25</f>
        <v>0.3</v>
      </c>
      <c r="L19" s="6">
        <f>'IRMS data'!$D88</f>
        <v>0.3</v>
      </c>
      <c r="AK19" s="17"/>
      <c r="AL19" s="18">
        <f t="shared" si="9"/>
        <v>0.78539816339744828</v>
      </c>
      <c r="AM19" s="15">
        <f t="shared" si="3"/>
        <v>0.42441318157838753</v>
      </c>
      <c r="AN19" s="6">
        <f t="shared" si="13"/>
        <v>0.72150240868325899</v>
      </c>
      <c r="AO19" s="6">
        <f t="shared" si="14"/>
        <v>0.42014761420664987</v>
      </c>
    </row>
    <row r="20" spans="1:41" ht="12.75" customHeight="1">
      <c r="C20" s="2">
        <f t="shared" si="15"/>
        <v>250</v>
      </c>
      <c r="D20" s="21">
        <f t="shared" si="11"/>
        <v>0.43333333333333335</v>
      </c>
      <c r="E20" s="6">
        <f t="shared" si="12"/>
        <v>5.7735026918962762E-2</v>
      </c>
      <c r="J20" s="6">
        <f>'IRMS data'!$D19</f>
        <v>0.5</v>
      </c>
      <c r="K20" s="6">
        <f>'IRMS data'!$D26</f>
        <v>0.4</v>
      </c>
      <c r="L20" s="6">
        <f>'IRMS data'!$D89</f>
        <v>0.4</v>
      </c>
      <c r="AK20" s="17"/>
      <c r="AL20" s="18">
        <f t="shared" si="9"/>
        <v>0.78539816339744828</v>
      </c>
      <c r="AM20" s="15">
        <f t="shared" si="3"/>
        <v>0.55173713605190389</v>
      </c>
      <c r="AN20" s="6">
        <f t="shared" si="13"/>
        <v>1.0398122948670494</v>
      </c>
      <c r="AO20" s="6">
        <f t="shared" si="14"/>
        <v>0.69024250905378148</v>
      </c>
    </row>
    <row r="21" spans="1:41" ht="12.75" customHeight="1">
      <c r="C21" s="2">
        <f t="shared" si="15"/>
        <v>300</v>
      </c>
      <c r="D21" s="21">
        <f t="shared" si="11"/>
        <v>0.39999999999999997</v>
      </c>
      <c r="E21" s="6">
        <f t="shared" si="12"/>
        <v>0.10000000000000005</v>
      </c>
      <c r="J21" s="6">
        <f>'IRMS data'!$D20</f>
        <v>0.5</v>
      </c>
      <c r="K21" s="6">
        <f>'IRMS data'!$D27</f>
        <v>0.4</v>
      </c>
      <c r="L21" s="6">
        <f>'IRMS data'!$D90</f>
        <v>0.3</v>
      </c>
      <c r="AK21" s="17"/>
      <c r="AL21" s="18">
        <f t="shared" si="9"/>
        <v>0.78539816339744828</v>
      </c>
      <c r="AM21" s="15">
        <f t="shared" si="3"/>
        <v>0.50929581789406508</v>
      </c>
      <c r="AN21" s="6">
        <f t="shared" si="13"/>
        <v>0.93370899947245256</v>
      </c>
      <c r="AO21" s="6">
        <f t="shared" si="14"/>
        <v>0.60021087743807089</v>
      </c>
    </row>
    <row r="22" spans="1:41" ht="12.75" customHeight="1">
      <c r="C22" s="1">
        <v>340</v>
      </c>
      <c r="D22" s="21">
        <f t="shared" si="11"/>
        <v>0.70000000000000007</v>
      </c>
      <c r="E22" s="6">
        <f t="shared" si="12"/>
        <v>0.20000000000000009</v>
      </c>
      <c r="J22" s="6">
        <f>'IRMS data'!$D21</f>
        <v>0.9</v>
      </c>
      <c r="K22" s="6">
        <f>'IRMS data'!$D28</f>
        <v>0.7</v>
      </c>
      <c r="L22" s="6">
        <f>'IRMS data'!$D91</f>
        <v>0.5</v>
      </c>
      <c r="AK22" s="17"/>
      <c r="AL22" s="18">
        <f t="shared" si="9"/>
        <v>0.78539816339744828</v>
      </c>
      <c r="AM22" s="15">
        <f t="shared" si="3"/>
        <v>0.89126768131461398</v>
      </c>
      <c r="AN22" s="6">
        <f t="shared" si="13"/>
        <v>1.294460203814082</v>
      </c>
      <c r="AO22" s="6">
        <f t="shared" si="14"/>
        <v>0.57020033356616728</v>
      </c>
    </row>
    <row r="23" spans="1:41" ht="12.75" customHeight="1">
      <c r="C23" s="1">
        <v>390</v>
      </c>
      <c r="D23" s="21">
        <f t="shared" si="11"/>
        <v>0.80000000000000016</v>
      </c>
      <c r="E23" s="6">
        <f t="shared" si="12"/>
        <v>1.3597399555105182E-16</v>
      </c>
      <c r="J23" s="6">
        <f>'IRMS data'!$D22</f>
        <v>0.8</v>
      </c>
      <c r="K23" s="6">
        <f>'IRMS data'!$D29</f>
        <v>0.8</v>
      </c>
      <c r="L23" s="6">
        <f>'IRMS data'!$D92</f>
        <v>0.8</v>
      </c>
      <c r="AK23" s="17"/>
      <c r="AL23" s="18">
        <f t="shared" si="9"/>
        <v>0.78539816339744828</v>
      </c>
      <c r="AM23" s="15">
        <f t="shared" si="3"/>
        <v>1.0185916357881304</v>
      </c>
      <c r="AN23" s="6">
        <f t="shared" si="13"/>
        <v>1.952300635260583</v>
      </c>
      <c r="AO23" s="6">
        <f t="shared" si="14"/>
        <v>1.3204639303637555</v>
      </c>
    </row>
    <row r="24" spans="1:41" ht="12.75" customHeight="1">
      <c r="B24" s="1" t="s">
        <v>89</v>
      </c>
      <c r="C24" s="1">
        <v>100</v>
      </c>
      <c r="D24" s="21">
        <f t="shared" ref="D24:D30" si="16">AVERAGE(N24:P24)</f>
        <v>0.16666666666666666</v>
      </c>
      <c r="E24" s="6">
        <f t="shared" ref="E24:E30" si="17">STDEV(N24:P24)</f>
        <v>5.7735026918962699E-2</v>
      </c>
      <c r="M24" s="6">
        <f>'IRMS data'!$D93</f>
        <v>0.1</v>
      </c>
      <c r="N24" s="2">
        <f>'IRMS data'!$D100</f>
        <v>0.2</v>
      </c>
      <c r="O24" s="2">
        <f>'IRMS data'!$D107</f>
        <v>0.1</v>
      </c>
      <c r="P24" s="2">
        <f>'IRMS data'!$D114</f>
        <v>0.2</v>
      </c>
      <c r="AK24" s="17"/>
      <c r="AL24" s="18">
        <f t="shared" ref="AL24:AL30" si="18">PI()*(0.5^2)/4</f>
        <v>0.19634954084936207</v>
      </c>
      <c r="AM24" s="15">
        <f t="shared" si="3"/>
        <v>0.84882636315677507</v>
      </c>
      <c r="AN24" s="15"/>
      <c r="AO24" s="15"/>
    </row>
    <row r="25" spans="1:41" ht="12.75" customHeight="1">
      <c r="C25" s="2">
        <f t="shared" ref="C25:C28" si="19">C24+50</f>
        <v>150</v>
      </c>
      <c r="D25" s="21">
        <f t="shared" si="16"/>
        <v>0.20000000000000004</v>
      </c>
      <c r="E25" s="6">
        <f t="shared" si="17"/>
        <v>3.3993498887762956E-17</v>
      </c>
      <c r="M25" s="6">
        <f>'IRMS data'!$D94</f>
        <v>0.2</v>
      </c>
      <c r="N25" s="2">
        <f>'IRMS data'!$D101</f>
        <v>0.2</v>
      </c>
      <c r="O25" s="2">
        <f>'IRMS data'!$D108</f>
        <v>0.2</v>
      </c>
      <c r="P25" s="2">
        <f>'IRMS data'!$D115</f>
        <v>0.2</v>
      </c>
      <c r="AK25" s="17"/>
      <c r="AL25" s="18">
        <f t="shared" si="18"/>
        <v>0.19634954084936207</v>
      </c>
      <c r="AM25" s="15">
        <f t="shared" si="3"/>
        <v>1.0185916357881304</v>
      </c>
      <c r="AN25" s="15"/>
      <c r="AO25" s="15"/>
    </row>
    <row r="26" spans="1:41" ht="12.75" customHeight="1">
      <c r="C26" s="2">
        <f t="shared" si="19"/>
        <v>200</v>
      </c>
      <c r="D26" s="21">
        <f t="shared" si="16"/>
        <v>0.20000000000000004</v>
      </c>
      <c r="E26" s="6">
        <f t="shared" si="17"/>
        <v>3.3993498887762956E-17</v>
      </c>
      <c r="M26" s="6">
        <f>'IRMS data'!$D95</f>
        <v>0.3</v>
      </c>
      <c r="N26" s="2">
        <f>'IRMS data'!$D102</f>
        <v>0.2</v>
      </c>
      <c r="O26" s="2">
        <f>'IRMS data'!$D109</f>
        <v>0.2</v>
      </c>
      <c r="P26" s="2">
        <f>'IRMS data'!$D116</f>
        <v>0.2</v>
      </c>
      <c r="AK26" s="17"/>
      <c r="AL26" s="18">
        <f t="shared" si="18"/>
        <v>0.19634954084936207</v>
      </c>
      <c r="AM26" s="15">
        <f t="shared" si="3"/>
        <v>1.0185916357881304</v>
      </c>
      <c r="AN26" s="15"/>
      <c r="AO26" s="15"/>
    </row>
    <row r="27" spans="1:41" ht="12.75" customHeight="1">
      <c r="C27" s="2">
        <f t="shared" si="19"/>
        <v>250</v>
      </c>
      <c r="D27" s="21">
        <f t="shared" si="16"/>
        <v>0.3</v>
      </c>
      <c r="E27" s="6">
        <f t="shared" si="17"/>
        <v>0</v>
      </c>
      <c r="M27" s="6">
        <f>'IRMS data'!$D96</f>
        <v>0.4</v>
      </c>
      <c r="N27" s="2">
        <f>'IRMS data'!$D103</f>
        <v>0.3</v>
      </c>
      <c r="O27" s="2">
        <f>'IRMS data'!$D110</f>
        <v>0.3</v>
      </c>
      <c r="P27" s="2">
        <f>'IRMS data'!$D117</f>
        <v>0.3</v>
      </c>
      <c r="AK27" s="17"/>
      <c r="AL27" s="18">
        <f t="shared" si="18"/>
        <v>0.19634954084936207</v>
      </c>
      <c r="AM27" s="15">
        <f t="shared" si="3"/>
        <v>1.5278874536821951</v>
      </c>
      <c r="AN27" s="15"/>
      <c r="AO27" s="15"/>
    </row>
    <row r="28" spans="1:41" ht="12.75" customHeight="1">
      <c r="C28" s="2">
        <f t="shared" si="19"/>
        <v>300</v>
      </c>
      <c r="D28" s="21">
        <f t="shared" si="16"/>
        <v>0.26666666666666666</v>
      </c>
      <c r="E28" s="6">
        <f t="shared" si="17"/>
        <v>5.7735026918962401E-2</v>
      </c>
      <c r="M28" s="6">
        <f>'IRMS data'!$D97</f>
        <v>0.4</v>
      </c>
      <c r="N28" s="2">
        <f>'IRMS data'!$D104</f>
        <v>0.2</v>
      </c>
      <c r="O28" s="2">
        <f>'IRMS data'!$D111</f>
        <v>0.3</v>
      </c>
      <c r="P28" s="2">
        <f>'IRMS data'!$D118</f>
        <v>0.3</v>
      </c>
      <c r="AK28" s="17"/>
      <c r="AL28" s="18">
        <f t="shared" si="18"/>
        <v>0.19634954084936207</v>
      </c>
      <c r="AM28" s="15">
        <f t="shared" si="3"/>
        <v>1.3581221810508401</v>
      </c>
      <c r="AN28" s="15"/>
      <c r="AO28" s="15"/>
    </row>
    <row r="29" spans="1:41" ht="12.75" customHeight="1">
      <c r="C29" s="1">
        <v>340</v>
      </c>
      <c r="D29" s="21">
        <f t="shared" si="16"/>
        <v>0.33333333333333331</v>
      </c>
      <c r="E29" s="6">
        <f t="shared" si="17"/>
        <v>5.7735026918962762E-2</v>
      </c>
      <c r="M29" s="6">
        <f>'IRMS data'!$D98</f>
        <v>0.8</v>
      </c>
      <c r="N29" s="2">
        <f>'IRMS data'!$D105</f>
        <v>0.3</v>
      </c>
      <c r="O29" s="2">
        <f>'IRMS data'!$D112</f>
        <v>0.3</v>
      </c>
      <c r="P29" s="2">
        <f>'IRMS data'!$D119</f>
        <v>0.4</v>
      </c>
      <c r="AK29" s="17"/>
      <c r="AL29" s="18">
        <f t="shared" si="18"/>
        <v>0.19634954084936207</v>
      </c>
      <c r="AM29" s="15">
        <f t="shared" si="3"/>
        <v>1.6976527263135501</v>
      </c>
      <c r="AN29" s="15"/>
      <c r="AO29" s="15"/>
    </row>
    <row r="30" spans="1:41" ht="12.75" customHeight="1">
      <c r="C30" s="1">
        <v>390</v>
      </c>
      <c r="D30" s="21">
        <f t="shared" si="16"/>
        <v>0.56666666666666665</v>
      </c>
      <c r="E30" s="6">
        <f t="shared" si="17"/>
        <v>0.25166114784235849</v>
      </c>
      <c r="M30" s="6">
        <f>'IRMS data'!$D99</f>
        <v>1.2</v>
      </c>
      <c r="N30" s="2">
        <f>'IRMS data'!$D106</f>
        <v>0.3</v>
      </c>
      <c r="O30" s="2">
        <f>'IRMS data'!$D113</f>
        <v>0.6</v>
      </c>
      <c r="P30" s="2">
        <f>'IRMS data'!$D120</f>
        <v>0.8</v>
      </c>
      <c r="AK30" s="17"/>
      <c r="AL30" s="18">
        <f t="shared" si="18"/>
        <v>0.19634954084936207</v>
      </c>
      <c r="AM30" s="15">
        <f t="shared" si="3"/>
        <v>2.8860096347330355</v>
      </c>
      <c r="AN30" s="15"/>
      <c r="AO30" s="15"/>
    </row>
    <row r="31" spans="1:41" ht="12.75" customHeight="1">
      <c r="A31" s="2" t="str">
        <f>CONCATENATE(overview!$C14," ",overview!$D14)</f>
        <v>blank filters (pre-heated) --</v>
      </c>
      <c r="B31" s="1" t="s">
        <v>95</v>
      </c>
      <c r="C31" s="1">
        <v>100</v>
      </c>
      <c r="D31" s="21">
        <f t="shared" ref="D31:D37" si="20">AVERAGE(Q31:S31)</f>
        <v>0.33333333333333331</v>
      </c>
      <c r="E31" s="6">
        <f t="shared" ref="E31:E37" si="21">STDEV(Q31:S31)</f>
        <v>0.15275252316519469</v>
      </c>
      <c r="Q31" s="6">
        <f>'IRMS data'!$D30</f>
        <v>0.2</v>
      </c>
      <c r="R31" s="6">
        <f>'IRMS data'!$D37</f>
        <v>0.3</v>
      </c>
      <c r="S31" s="6">
        <f>'IRMS data'!$D121</f>
        <v>0.5</v>
      </c>
      <c r="AK31" s="17"/>
      <c r="AL31" s="18">
        <f t="shared" ref="AL31:AL37" si="22">PI()/4 *2</f>
        <v>1.5707963267948966</v>
      </c>
      <c r="AM31" s="15">
        <f t="shared" si="3"/>
        <v>0.21220659078919377</v>
      </c>
      <c r="AN31" s="6">
        <f t="shared" ref="AN31:AN37" si="23">AVERAGE(AM31,AM38,AM45)</f>
        <v>0.3253834392100971</v>
      </c>
      <c r="AO31" s="6">
        <f t="shared" ref="AO31:AO37" si="24">STDEV(AM31,AM38,AM45)</f>
        <v>0.16068023726221023</v>
      </c>
    </row>
    <row r="32" spans="1:41" ht="12.75" customHeight="1">
      <c r="C32" s="2">
        <f t="shared" ref="C32:C35" si="25">C31+50</f>
        <v>150</v>
      </c>
      <c r="D32" s="21">
        <f t="shared" si="20"/>
        <v>0.23333333333333331</v>
      </c>
      <c r="E32" s="6">
        <f t="shared" si="21"/>
        <v>5.7735026918962762E-2</v>
      </c>
      <c r="Q32" s="6">
        <f>'IRMS data'!$D31</f>
        <v>0.2</v>
      </c>
      <c r="R32" s="6">
        <f>'IRMS data'!$D38</f>
        <v>0.2</v>
      </c>
      <c r="S32" s="6">
        <f>'IRMS data'!$D122</f>
        <v>0.3</v>
      </c>
      <c r="AK32" s="17"/>
      <c r="AL32" s="18">
        <f t="shared" si="22"/>
        <v>1.5707963267948966</v>
      </c>
      <c r="AM32" s="15">
        <f t="shared" si="3"/>
        <v>0.14854461355243564</v>
      </c>
      <c r="AN32" s="6">
        <f t="shared" si="23"/>
        <v>0.5163693709203715</v>
      </c>
      <c r="AO32" s="6">
        <f t="shared" si="24"/>
        <v>0.45032485245867082</v>
      </c>
    </row>
    <row r="33" spans="2:41" ht="12.75" customHeight="1">
      <c r="C33" s="2">
        <f t="shared" si="25"/>
        <v>200</v>
      </c>
      <c r="D33" s="21">
        <f t="shared" si="20"/>
        <v>0.20000000000000004</v>
      </c>
      <c r="E33" s="6">
        <f t="shared" si="21"/>
        <v>3.3993498887762956E-17</v>
      </c>
      <c r="Q33" s="6">
        <f>'IRMS data'!$D32</f>
        <v>0.2</v>
      </c>
      <c r="R33" s="6">
        <f>'IRMS data'!$D39</f>
        <v>0.2</v>
      </c>
      <c r="S33" s="6">
        <f>'IRMS data'!$D123</f>
        <v>0.2</v>
      </c>
      <c r="AK33" s="17"/>
      <c r="AL33" s="18">
        <f t="shared" si="22"/>
        <v>1.5707963267948966</v>
      </c>
      <c r="AM33" s="15">
        <f t="shared" si="3"/>
        <v>0.1273239544735163</v>
      </c>
      <c r="AN33" s="6">
        <f t="shared" si="23"/>
        <v>0.55173713605190378</v>
      </c>
      <c r="AO33" s="6">
        <f t="shared" si="24"/>
        <v>0.44714703292565111</v>
      </c>
    </row>
    <row r="34" spans="2:41" ht="12.75" customHeight="1">
      <c r="C34" s="2">
        <f t="shared" si="25"/>
        <v>250</v>
      </c>
      <c r="D34" s="21">
        <f t="shared" si="20"/>
        <v>0.30000000000000004</v>
      </c>
      <c r="E34" s="6">
        <f t="shared" si="21"/>
        <v>9.9999999999999908E-2</v>
      </c>
      <c r="Q34" s="6">
        <f>'IRMS data'!$D33</f>
        <v>0.4</v>
      </c>
      <c r="R34" s="6">
        <f>'IRMS data'!$D40</f>
        <v>0.2</v>
      </c>
      <c r="S34" s="6">
        <f>'IRMS data'!$D124</f>
        <v>0.3</v>
      </c>
      <c r="AK34" s="17"/>
      <c r="AL34" s="18">
        <f t="shared" si="22"/>
        <v>1.5707963267948966</v>
      </c>
      <c r="AM34" s="15">
        <f t="shared" si="3"/>
        <v>0.19098593171027445</v>
      </c>
      <c r="AN34" s="6">
        <f t="shared" si="23"/>
        <v>0.65784043144650084</v>
      </c>
      <c r="AO34" s="6">
        <f t="shared" si="24"/>
        <v>0.42388233311350182</v>
      </c>
    </row>
    <row r="35" spans="2:41" ht="12.75" customHeight="1">
      <c r="C35" s="2">
        <f t="shared" si="25"/>
        <v>300</v>
      </c>
      <c r="D35" s="21">
        <f t="shared" si="20"/>
        <v>0.3666666666666667</v>
      </c>
      <c r="E35" s="6">
        <f t="shared" si="21"/>
        <v>0.11547005383792493</v>
      </c>
      <c r="Q35" s="6">
        <f>'IRMS data'!$D34</f>
        <v>0.5</v>
      </c>
      <c r="R35" s="6">
        <f>'IRMS data'!$D41</f>
        <v>0.3</v>
      </c>
      <c r="S35" s="6">
        <f>'IRMS data'!$D125</f>
        <v>0.3</v>
      </c>
      <c r="AK35" s="17"/>
      <c r="AL35" s="18">
        <f t="shared" si="22"/>
        <v>1.5707963267948966</v>
      </c>
      <c r="AM35" s="15">
        <f t="shared" si="3"/>
        <v>0.2334272498681132</v>
      </c>
      <c r="AN35" s="6">
        <f t="shared" si="23"/>
        <v>0.79931149197262996</v>
      </c>
      <c r="AO35" s="6">
        <f t="shared" si="24"/>
        <v>0.66238829362816676</v>
      </c>
    </row>
    <row r="36" spans="2:41" ht="12.75" customHeight="1">
      <c r="C36" s="1">
        <v>340</v>
      </c>
      <c r="D36" s="21">
        <f t="shared" si="20"/>
        <v>0.46666666666666662</v>
      </c>
      <c r="E36" s="6">
        <f t="shared" si="21"/>
        <v>5.7735026918963241E-2</v>
      </c>
      <c r="Q36" s="6">
        <f>'IRMS data'!$D35</f>
        <v>0.5</v>
      </c>
      <c r="R36" s="6">
        <f>'IRMS data'!$D42</f>
        <v>0.5</v>
      </c>
      <c r="S36" s="6">
        <f>'IRMS data'!$D126</f>
        <v>0.4</v>
      </c>
      <c r="AK36" s="17"/>
      <c r="AL36" s="18">
        <f t="shared" si="22"/>
        <v>1.5707963267948966</v>
      </c>
      <c r="AM36" s="15">
        <f t="shared" si="3"/>
        <v>0.29708922710487129</v>
      </c>
      <c r="AN36" s="6">
        <f t="shared" si="23"/>
        <v>0.9054147873672268</v>
      </c>
      <c r="AO36" s="6">
        <f t="shared" si="24"/>
        <v>0.61552105901725196</v>
      </c>
    </row>
    <row r="37" spans="2:41" ht="12.75" customHeight="1">
      <c r="C37" s="1">
        <v>390</v>
      </c>
      <c r="D37" s="21">
        <f t="shared" si="20"/>
        <v>0.70000000000000007</v>
      </c>
      <c r="E37" s="6">
        <f t="shared" si="21"/>
        <v>0.1000000000000006</v>
      </c>
      <c r="Q37" s="6">
        <f>'IRMS data'!$D36</f>
        <v>0.8</v>
      </c>
      <c r="R37" s="6">
        <f>'IRMS data'!$D43</f>
        <v>0.7</v>
      </c>
      <c r="S37" s="6">
        <f>'IRMS data'!$D127</f>
        <v>0.6</v>
      </c>
      <c r="AK37" s="17"/>
      <c r="AL37" s="18">
        <f t="shared" si="22"/>
        <v>1.5707963267948966</v>
      </c>
      <c r="AM37" s="15">
        <f t="shared" si="3"/>
        <v>0.44563384065730699</v>
      </c>
      <c r="AN37" s="6">
        <f t="shared" si="23"/>
        <v>1.3793428401297596</v>
      </c>
      <c r="AO37" s="6">
        <f t="shared" si="24"/>
        <v>0.83086400685258266</v>
      </c>
    </row>
    <row r="38" spans="2:41" ht="12.75" customHeight="1">
      <c r="B38" s="1" t="s">
        <v>102</v>
      </c>
      <c r="C38" s="1">
        <v>100</v>
      </c>
      <c r="D38" s="21">
        <f t="shared" ref="D38:D44" si="26">AVERAGE(T38:U38)</f>
        <v>0.1</v>
      </c>
      <c r="E38" s="6">
        <f t="shared" ref="E38:E44" si="27">STDEV(T38:U38)</f>
        <v>0</v>
      </c>
      <c r="T38" s="6">
        <f>'IRMS data'!$D44</f>
        <v>0.1</v>
      </c>
      <c r="U38" s="6">
        <f>'IRMS data'!$D51</f>
        <v>0.1</v>
      </c>
      <c r="AK38" s="17"/>
      <c r="AL38" s="18">
        <f t="shared" ref="AL38:AL44" si="28">PI()*(0.5^2)/4 *2</f>
        <v>0.39269908169872414</v>
      </c>
      <c r="AM38" s="15">
        <f t="shared" si="3"/>
        <v>0.25464790894703254</v>
      </c>
      <c r="AN38" s="15"/>
      <c r="AO38" s="15"/>
    </row>
    <row r="39" spans="2:41" ht="12.75" customHeight="1">
      <c r="C39" s="2">
        <f t="shared" ref="C39:C42" si="29">C38+50</f>
        <v>150</v>
      </c>
      <c r="D39" s="21">
        <f t="shared" si="26"/>
        <v>0.15000000000000002</v>
      </c>
      <c r="E39" s="6">
        <f t="shared" si="27"/>
        <v>7.0710678118654738E-2</v>
      </c>
      <c r="T39" s="6">
        <f>'IRMS data'!$D45</f>
        <v>0.2</v>
      </c>
      <c r="U39" s="6">
        <f>'IRMS data'!$D52</f>
        <v>0.1</v>
      </c>
      <c r="AK39" s="17"/>
      <c r="AL39" s="18">
        <f t="shared" si="28"/>
        <v>0.39269908169872414</v>
      </c>
      <c r="AM39" s="15">
        <f t="shared" si="3"/>
        <v>0.3819718634205489</v>
      </c>
      <c r="AN39" s="15"/>
      <c r="AO39" s="15"/>
    </row>
    <row r="40" spans="2:41" ht="12.75" customHeight="1">
      <c r="C40" s="2">
        <f t="shared" si="29"/>
        <v>200</v>
      </c>
      <c r="D40" s="21">
        <f t="shared" si="26"/>
        <v>0.2</v>
      </c>
      <c r="E40" s="6">
        <f t="shared" si="27"/>
        <v>0</v>
      </c>
      <c r="T40" s="6">
        <f>'IRMS data'!$D46</f>
        <v>0.2</v>
      </c>
      <c r="U40" s="6">
        <f>'IRMS data'!$D53</f>
        <v>0.2</v>
      </c>
      <c r="AK40" s="17"/>
      <c r="AL40" s="18">
        <f t="shared" si="28"/>
        <v>0.39269908169872414</v>
      </c>
      <c r="AM40" s="15">
        <f t="shared" si="3"/>
        <v>0.50929581789406508</v>
      </c>
      <c r="AN40" s="15"/>
      <c r="AO40" s="15"/>
    </row>
    <row r="41" spans="2:41" ht="12.75" customHeight="1">
      <c r="C41" s="2">
        <f t="shared" si="29"/>
        <v>250</v>
      </c>
      <c r="D41" s="21">
        <f t="shared" si="26"/>
        <v>0.30000000000000004</v>
      </c>
      <c r="E41" s="6">
        <f t="shared" si="27"/>
        <v>0.14142135623730948</v>
      </c>
      <c r="T41" s="6">
        <f>'IRMS data'!$D47</f>
        <v>0.4</v>
      </c>
      <c r="U41" s="6">
        <f>'IRMS data'!$D54</f>
        <v>0.2</v>
      </c>
      <c r="AK41" s="17"/>
      <c r="AL41" s="18">
        <f t="shared" si="28"/>
        <v>0.39269908169872414</v>
      </c>
      <c r="AM41" s="15">
        <f t="shared" si="3"/>
        <v>0.76394372684109779</v>
      </c>
      <c r="AN41" s="15"/>
      <c r="AO41" s="15"/>
    </row>
    <row r="42" spans="2:41" ht="12.75" customHeight="1">
      <c r="C42" s="2">
        <f t="shared" si="29"/>
        <v>300</v>
      </c>
      <c r="D42" s="21">
        <f t="shared" si="26"/>
        <v>0.25</v>
      </c>
      <c r="E42" s="6">
        <f t="shared" si="27"/>
        <v>7.0710678118654779E-2</v>
      </c>
      <c r="T42" s="6">
        <f>'IRMS data'!$D48</f>
        <v>0.3</v>
      </c>
      <c r="U42" s="6">
        <f>'IRMS data'!$D55</f>
        <v>0.2</v>
      </c>
      <c r="AK42" s="17"/>
      <c r="AL42" s="18">
        <f t="shared" si="28"/>
        <v>0.39269908169872414</v>
      </c>
      <c r="AM42" s="15">
        <f t="shared" si="3"/>
        <v>0.63661977236758138</v>
      </c>
      <c r="AN42" s="15"/>
      <c r="AO42" s="15"/>
    </row>
    <row r="43" spans="2:41" ht="12.75" customHeight="1">
      <c r="C43" s="1">
        <v>340</v>
      </c>
      <c r="D43" s="21">
        <f t="shared" si="26"/>
        <v>0.35</v>
      </c>
      <c r="E43" s="6">
        <f t="shared" si="27"/>
        <v>7.0710678118654974E-2</v>
      </c>
      <c r="T43" s="6">
        <f>'IRMS data'!$D49</f>
        <v>0.4</v>
      </c>
      <c r="U43" s="6">
        <f>'IRMS data'!$D56</f>
        <v>0.3</v>
      </c>
      <c r="AK43" s="17"/>
      <c r="AL43" s="18">
        <f t="shared" si="28"/>
        <v>0.39269908169872414</v>
      </c>
      <c r="AM43" s="15">
        <f t="shared" si="3"/>
        <v>0.89126768131461387</v>
      </c>
      <c r="AN43" s="15"/>
      <c r="AO43" s="15"/>
    </row>
    <row r="44" spans="2:41" ht="12.75" customHeight="1">
      <c r="C44" s="1">
        <v>390</v>
      </c>
      <c r="D44" s="21">
        <f t="shared" si="26"/>
        <v>0.65</v>
      </c>
      <c r="E44" s="6">
        <f t="shared" si="27"/>
        <v>0.35355339059327379</v>
      </c>
      <c r="T44" s="6">
        <f>'IRMS data'!$D50</f>
        <v>0.9</v>
      </c>
      <c r="U44" s="6">
        <f>'IRMS data'!$D57</f>
        <v>0.4</v>
      </c>
      <c r="AK44" s="17"/>
      <c r="AL44" s="18">
        <f t="shared" si="28"/>
        <v>0.39269908169872414</v>
      </c>
      <c r="AM44" s="15">
        <f t="shared" si="3"/>
        <v>1.6552114081557117</v>
      </c>
      <c r="AN44" s="15"/>
      <c r="AO44" s="15"/>
    </row>
    <row r="45" spans="2:41" ht="12.75" customHeight="1">
      <c r="B45" s="1" t="s">
        <v>106</v>
      </c>
      <c r="C45" s="1">
        <v>100</v>
      </c>
      <c r="D45" s="15">
        <f t="shared" ref="D45:D51" si="30">V45</f>
        <v>0.1</v>
      </c>
      <c r="E45" s="6">
        <f t="shared" ref="E45:E51" si="31">V45/100*5</f>
        <v>5.0000000000000001E-3</v>
      </c>
      <c r="V45" s="6">
        <f>'IRMS data'!$D128</f>
        <v>0.1</v>
      </c>
      <c r="AK45" s="17"/>
      <c r="AL45" s="18">
        <f t="shared" ref="AL45:AL51" si="32">PI()*(0.5^2)/4</f>
        <v>0.19634954084936207</v>
      </c>
      <c r="AM45" s="15">
        <f t="shared" si="3"/>
        <v>0.50929581789406508</v>
      </c>
      <c r="AN45" s="15"/>
      <c r="AO45" s="15"/>
    </row>
    <row r="46" spans="2:41" ht="12.75" customHeight="1">
      <c r="C46" s="2">
        <f t="shared" ref="C46:C49" si="33">C45+50</f>
        <v>150</v>
      </c>
      <c r="D46" s="15">
        <f t="shared" si="30"/>
        <v>0.2</v>
      </c>
      <c r="E46" s="6">
        <f t="shared" si="31"/>
        <v>0.01</v>
      </c>
      <c r="V46" s="6">
        <f>'IRMS data'!$D129</f>
        <v>0.2</v>
      </c>
      <c r="AK46" s="17"/>
      <c r="AL46" s="18">
        <f t="shared" si="32"/>
        <v>0.19634954084936207</v>
      </c>
      <c r="AM46" s="15">
        <f t="shared" si="3"/>
        <v>1.0185916357881302</v>
      </c>
      <c r="AN46" s="15"/>
      <c r="AO46" s="15"/>
    </row>
    <row r="47" spans="2:41" ht="12.75" customHeight="1">
      <c r="C47" s="2">
        <f t="shared" si="33"/>
        <v>200</v>
      </c>
      <c r="D47" s="15">
        <f t="shared" si="30"/>
        <v>0.2</v>
      </c>
      <c r="E47" s="6">
        <f t="shared" si="31"/>
        <v>0.01</v>
      </c>
      <c r="V47" s="6">
        <f>'IRMS data'!$D130</f>
        <v>0.2</v>
      </c>
      <c r="AK47" s="17"/>
      <c r="AL47" s="18">
        <f t="shared" si="32"/>
        <v>0.19634954084936207</v>
      </c>
      <c r="AM47" s="15">
        <f t="shared" si="3"/>
        <v>1.0185916357881302</v>
      </c>
      <c r="AN47" s="15"/>
      <c r="AO47" s="15"/>
    </row>
    <row r="48" spans="2:41" ht="12.75" customHeight="1">
      <c r="C48" s="2">
        <f t="shared" si="33"/>
        <v>250</v>
      </c>
      <c r="D48" s="15">
        <f t="shared" si="30"/>
        <v>0.2</v>
      </c>
      <c r="E48" s="6">
        <f t="shared" si="31"/>
        <v>0.01</v>
      </c>
      <c r="V48" s="6">
        <f>'IRMS data'!$D131</f>
        <v>0.2</v>
      </c>
      <c r="AK48" s="17"/>
      <c r="AL48" s="18">
        <f t="shared" si="32"/>
        <v>0.19634954084936207</v>
      </c>
      <c r="AM48" s="15">
        <f t="shared" si="3"/>
        <v>1.0185916357881302</v>
      </c>
      <c r="AN48" s="15"/>
      <c r="AO48" s="15"/>
    </row>
    <row r="49" spans="1:42" ht="12.75" customHeight="1">
      <c r="C49" s="2">
        <f t="shared" si="33"/>
        <v>300</v>
      </c>
      <c r="D49" s="15">
        <f t="shared" si="30"/>
        <v>0.3</v>
      </c>
      <c r="E49" s="6">
        <f t="shared" si="31"/>
        <v>1.4999999999999999E-2</v>
      </c>
      <c r="V49" s="6">
        <f>'IRMS data'!$D132</f>
        <v>0.3</v>
      </c>
      <c r="AK49" s="17"/>
      <c r="AL49" s="18">
        <f t="shared" si="32"/>
        <v>0.19634954084936207</v>
      </c>
      <c r="AM49" s="15">
        <f t="shared" si="3"/>
        <v>1.5278874536821951</v>
      </c>
      <c r="AN49" s="15"/>
      <c r="AO49" s="15"/>
    </row>
    <row r="50" spans="1:42" ht="12.75" customHeight="1">
      <c r="C50" s="1">
        <v>340</v>
      </c>
      <c r="D50" s="15">
        <f t="shared" si="30"/>
        <v>0.3</v>
      </c>
      <c r="E50" s="6">
        <f t="shared" si="31"/>
        <v>1.4999999999999999E-2</v>
      </c>
      <c r="V50" s="6">
        <f>'IRMS data'!$D133</f>
        <v>0.3</v>
      </c>
      <c r="AK50" s="17"/>
      <c r="AL50" s="18">
        <f t="shared" si="32"/>
        <v>0.19634954084936207</v>
      </c>
      <c r="AM50" s="15">
        <f t="shared" si="3"/>
        <v>1.5278874536821951</v>
      </c>
      <c r="AN50" s="15"/>
      <c r="AO50" s="15"/>
    </row>
    <row r="51" spans="1:42" ht="12.75" customHeight="1">
      <c r="C51" s="1">
        <v>390</v>
      </c>
      <c r="D51" s="15">
        <f t="shared" si="30"/>
        <v>0.4</v>
      </c>
      <c r="E51" s="6">
        <f t="shared" si="31"/>
        <v>0.02</v>
      </c>
      <c r="V51" s="6">
        <f>'IRMS data'!$D134</f>
        <v>0.4</v>
      </c>
      <c r="AK51" s="17"/>
      <c r="AL51" s="18">
        <f t="shared" si="32"/>
        <v>0.19634954084936207</v>
      </c>
      <c r="AM51" s="15">
        <f t="shared" si="3"/>
        <v>2.0371832715762603</v>
      </c>
      <c r="AN51" s="15"/>
      <c r="AO51" s="15"/>
    </row>
    <row r="52" spans="1:42" ht="12.75" customHeight="1">
      <c r="D52" s="15"/>
      <c r="E52" s="6"/>
      <c r="V52" s="6"/>
      <c r="AK52" s="17"/>
      <c r="AL52" s="18"/>
      <c r="AM52" s="15"/>
      <c r="AN52" s="15"/>
      <c r="AO52" s="15"/>
    </row>
    <row r="53" spans="1:42" ht="12.75" customHeight="1">
      <c r="A53" s="2" t="str">
        <f>CONCATENATE(overview!$C3," ",overview!$D3)</f>
        <v>a-pin, 1-buOH cont flow bag, top</v>
      </c>
      <c r="B53" s="1" t="s">
        <v>107</v>
      </c>
      <c r="C53" s="1">
        <v>100</v>
      </c>
      <c r="D53" s="15">
        <f t="shared" ref="D53:D59" si="34">W53</f>
        <v>4.2</v>
      </c>
      <c r="E53" s="6">
        <f t="shared" ref="E53:E59" si="35">W53/100*5</f>
        <v>0.21000000000000002</v>
      </c>
      <c r="V53" s="6"/>
      <c r="W53" s="6">
        <f>'IRMS data'!$D219</f>
        <v>4.2</v>
      </c>
      <c r="AK53" s="17"/>
      <c r="AL53" s="18">
        <f t="shared" ref="AL53:AL59" si="36">PI()/4 *0.5</f>
        <v>0.39269908169872414</v>
      </c>
      <c r="AM53" s="15">
        <f t="shared" ref="AM53:AM108" si="37">D53/AL53</f>
        <v>10.695212175775367</v>
      </c>
      <c r="AN53" s="15"/>
      <c r="AO53" s="15"/>
      <c r="AP53" s="6">
        <f>AM53/overview!G$3</f>
        <v>16.18149253720097</v>
      </c>
    </row>
    <row r="54" spans="1:42" ht="12.75" customHeight="1">
      <c r="C54" s="2">
        <f t="shared" ref="C54:C57" si="38">C53+50</f>
        <v>150</v>
      </c>
      <c r="D54" s="15">
        <f t="shared" si="34"/>
        <v>14</v>
      </c>
      <c r="E54" s="6">
        <f t="shared" si="35"/>
        <v>0.70000000000000007</v>
      </c>
      <c r="V54" s="6"/>
      <c r="W54" s="6">
        <f>'IRMS data'!$D220</f>
        <v>14</v>
      </c>
      <c r="AK54" s="17"/>
      <c r="AL54" s="18">
        <f t="shared" si="36"/>
        <v>0.39269908169872414</v>
      </c>
      <c r="AM54" s="15">
        <f t="shared" si="37"/>
        <v>35.65070725258456</v>
      </c>
      <c r="AN54" s="15"/>
      <c r="AO54" s="15"/>
      <c r="AP54" s="6">
        <f>AM54/overview!G$3</f>
        <v>53.938308457336575</v>
      </c>
    </row>
    <row r="55" spans="1:42" ht="12.75" customHeight="1">
      <c r="C55" s="2">
        <f t="shared" si="38"/>
        <v>200</v>
      </c>
      <c r="D55" s="15">
        <f t="shared" si="34"/>
        <v>8.5</v>
      </c>
      <c r="E55" s="6">
        <f t="shared" si="35"/>
        <v>0.42500000000000004</v>
      </c>
      <c r="V55" s="6"/>
      <c r="W55" s="6">
        <f>'IRMS data'!$D221</f>
        <v>8.5</v>
      </c>
      <c r="AK55" s="17"/>
      <c r="AL55" s="18">
        <f t="shared" si="36"/>
        <v>0.39269908169872414</v>
      </c>
      <c r="AM55" s="15">
        <f t="shared" si="37"/>
        <v>21.645072260497766</v>
      </c>
      <c r="AN55" s="15"/>
      <c r="AO55" s="15"/>
      <c r="AP55" s="6">
        <f>AM55/overview!G$3</f>
        <v>32.748258706240058</v>
      </c>
    </row>
    <row r="56" spans="1:42" ht="12.75" customHeight="1">
      <c r="C56" s="2">
        <f t="shared" si="38"/>
        <v>250</v>
      </c>
      <c r="D56" s="15">
        <f t="shared" si="34"/>
        <v>5.6</v>
      </c>
      <c r="E56" s="6">
        <f t="shared" si="35"/>
        <v>0.27999999999999997</v>
      </c>
      <c r="V56" s="6"/>
      <c r="W56" s="6">
        <f>'IRMS data'!$D222</f>
        <v>5.6</v>
      </c>
      <c r="AK56" s="17"/>
      <c r="AL56" s="18">
        <f t="shared" si="36"/>
        <v>0.39269908169872414</v>
      </c>
      <c r="AM56" s="15">
        <f t="shared" si="37"/>
        <v>14.260282901033822</v>
      </c>
      <c r="AN56" s="15"/>
      <c r="AO56" s="15"/>
      <c r="AP56" s="6">
        <f>AM56/overview!G$3</f>
        <v>21.575323382934627</v>
      </c>
    </row>
    <row r="57" spans="1:42" ht="12.75" customHeight="1">
      <c r="C57" s="2">
        <f t="shared" si="38"/>
        <v>300</v>
      </c>
      <c r="D57" s="15">
        <f t="shared" si="34"/>
        <v>5.6</v>
      </c>
      <c r="E57" s="6">
        <f t="shared" si="35"/>
        <v>0.27999999999999997</v>
      </c>
      <c r="V57" s="6"/>
      <c r="W57" s="6">
        <f>'IRMS data'!$D223</f>
        <v>5.6</v>
      </c>
      <c r="AK57" s="17"/>
      <c r="AL57" s="18">
        <f t="shared" si="36"/>
        <v>0.39269908169872414</v>
      </c>
      <c r="AM57" s="15">
        <f t="shared" si="37"/>
        <v>14.260282901033822</v>
      </c>
      <c r="AN57" s="15"/>
      <c r="AO57" s="15"/>
      <c r="AP57" s="6">
        <f>AM57/overview!G$3</f>
        <v>21.575323382934627</v>
      </c>
    </row>
    <row r="58" spans="1:42" ht="12.75" customHeight="1">
      <c r="C58" s="1">
        <v>340</v>
      </c>
      <c r="D58" s="15">
        <f t="shared" si="34"/>
        <v>6.1</v>
      </c>
      <c r="E58" s="6">
        <f t="shared" si="35"/>
        <v>0.30499999999999999</v>
      </c>
      <c r="V58" s="6"/>
      <c r="W58" s="6">
        <f>'IRMS data'!$D224</f>
        <v>6.1</v>
      </c>
      <c r="AK58" s="17"/>
      <c r="AL58" s="18">
        <f t="shared" si="36"/>
        <v>0.39269908169872414</v>
      </c>
      <c r="AM58" s="15">
        <f t="shared" si="37"/>
        <v>15.533522445768984</v>
      </c>
      <c r="AN58" s="15"/>
      <c r="AO58" s="15"/>
      <c r="AP58" s="6">
        <f>AM58/overview!G$3</f>
        <v>23.501691542125215</v>
      </c>
    </row>
    <row r="59" spans="1:42" ht="12.75" customHeight="1">
      <c r="C59" s="1">
        <v>390</v>
      </c>
      <c r="D59" s="15">
        <f t="shared" si="34"/>
        <v>6.7</v>
      </c>
      <c r="E59" s="6">
        <f t="shared" si="35"/>
        <v>0.33500000000000002</v>
      </c>
      <c r="V59" s="6"/>
      <c r="W59" s="6">
        <f>'IRMS data'!$D225</f>
        <v>6.7</v>
      </c>
      <c r="AK59" s="17"/>
      <c r="AL59" s="18">
        <f t="shared" si="36"/>
        <v>0.39269908169872414</v>
      </c>
      <c r="AM59" s="15">
        <f t="shared" si="37"/>
        <v>17.061409899451181</v>
      </c>
      <c r="AN59" s="15"/>
      <c r="AO59" s="15"/>
      <c r="AP59" s="6">
        <f>AM59/overview!G$3</f>
        <v>25.813333333153928</v>
      </c>
    </row>
    <row r="60" spans="1:42" ht="12.75" customHeight="1">
      <c r="A60" s="2" t="str">
        <f>CONCATENATE(overview!$C4," ",overview!$D4)</f>
        <v>a-pin, 1-buOH cont flow bag, bottom</v>
      </c>
      <c r="B60" s="1" t="s">
        <v>109</v>
      </c>
      <c r="C60" s="1">
        <v>100</v>
      </c>
      <c r="D60" s="21">
        <f t="shared" ref="D60:D66" si="39">X60</f>
        <v>2.2999999999999998</v>
      </c>
      <c r="E60" s="6">
        <f t="shared" ref="E60:E66" si="40">X60/100*5</f>
        <v>0.11499999999999999</v>
      </c>
      <c r="V60" s="6"/>
      <c r="W60" s="6"/>
      <c r="X60" s="6">
        <f>'IRMS data'!$D135</f>
        <v>2.2999999999999998</v>
      </c>
      <c r="AK60" s="17"/>
      <c r="AL60" s="18">
        <f t="shared" ref="AL60:AL66" si="41">PI()/4 *2</f>
        <v>1.5707963267948966</v>
      </c>
      <c r="AM60" s="15">
        <f t="shared" si="37"/>
        <v>1.464225476445437</v>
      </c>
      <c r="AN60" s="6">
        <f t="shared" ref="AN60:AN66" si="42">AVERAGE(AM60,AM67)</f>
        <v>1.432394487827058</v>
      </c>
      <c r="AO60" s="6">
        <f t="shared" ref="AO60:AO66" si="43">STDEV(AM60,AM67)</f>
        <v>4.5015815807855158E-2</v>
      </c>
      <c r="AP60" s="15">
        <f>AN60/overview!G$4</f>
        <v>0.7723404255309585</v>
      </c>
    </row>
    <row r="61" spans="1:42" ht="12.75" customHeight="1">
      <c r="C61" s="2">
        <f t="shared" ref="C61:C64" si="44">C60+50</f>
        <v>150</v>
      </c>
      <c r="D61" s="21">
        <f t="shared" si="39"/>
        <v>7.9</v>
      </c>
      <c r="E61" s="6">
        <f t="shared" si="40"/>
        <v>0.39500000000000002</v>
      </c>
      <c r="V61" s="6"/>
      <c r="W61" s="6"/>
      <c r="X61" s="6">
        <f>'IRMS data'!$D136</f>
        <v>7.9</v>
      </c>
      <c r="AK61" s="17"/>
      <c r="AL61" s="18">
        <f t="shared" si="41"/>
        <v>1.5707963267948966</v>
      </c>
      <c r="AM61" s="15">
        <f t="shared" si="37"/>
        <v>5.0292962017038931</v>
      </c>
      <c r="AN61" s="6">
        <f t="shared" si="42"/>
        <v>4.9974652130855137</v>
      </c>
      <c r="AO61" s="6">
        <f t="shared" si="43"/>
        <v>4.501581580785579E-2</v>
      </c>
      <c r="AP61" s="15">
        <f>AN61/overview!G$4</f>
        <v>2.6946099290746774</v>
      </c>
    </row>
    <row r="62" spans="1:42" ht="12.75" customHeight="1">
      <c r="C62" s="2">
        <f t="shared" si="44"/>
        <v>200</v>
      </c>
      <c r="D62" s="21">
        <f t="shared" si="39"/>
        <v>6.4</v>
      </c>
      <c r="E62" s="6">
        <f t="shared" si="40"/>
        <v>0.32</v>
      </c>
      <c r="V62" s="6"/>
      <c r="W62" s="6"/>
      <c r="X62" s="6">
        <f>'IRMS data'!$D137</f>
        <v>6.4</v>
      </c>
      <c r="AK62" s="17"/>
      <c r="AL62" s="18">
        <f t="shared" si="41"/>
        <v>1.5707963267948966</v>
      </c>
      <c r="AM62" s="15">
        <f t="shared" si="37"/>
        <v>4.0743665431525207</v>
      </c>
      <c r="AN62" s="6">
        <f t="shared" si="42"/>
        <v>4.3290144520995533</v>
      </c>
      <c r="AO62" s="6">
        <f t="shared" si="43"/>
        <v>0.36012652646284254</v>
      </c>
      <c r="AP62" s="15">
        <f>AN62/overview!G$4</f>
        <v>2.3341843971602301</v>
      </c>
    </row>
    <row r="63" spans="1:42" ht="12.75" customHeight="1">
      <c r="C63" s="2">
        <f t="shared" si="44"/>
        <v>250</v>
      </c>
      <c r="D63" s="21">
        <f t="shared" si="39"/>
        <v>6</v>
      </c>
      <c r="E63" s="6">
        <f t="shared" si="40"/>
        <v>0.3</v>
      </c>
      <c r="V63" s="6"/>
      <c r="W63" s="6"/>
      <c r="X63" s="6">
        <f>'IRMS data'!$D138</f>
        <v>6</v>
      </c>
      <c r="AK63" s="17"/>
      <c r="AL63" s="18">
        <f t="shared" si="41"/>
        <v>1.5707963267948966</v>
      </c>
      <c r="AM63" s="15">
        <f t="shared" si="37"/>
        <v>3.8197186342054881</v>
      </c>
      <c r="AN63" s="6">
        <f t="shared" si="42"/>
        <v>3.9470425886790044</v>
      </c>
      <c r="AO63" s="6">
        <f t="shared" si="43"/>
        <v>0.18006326323142127</v>
      </c>
      <c r="AP63" s="15">
        <f>AN63/overview!G$4</f>
        <v>2.1282269503519746</v>
      </c>
    </row>
    <row r="64" spans="1:42" ht="12.75" customHeight="1">
      <c r="C64" s="2">
        <f t="shared" si="44"/>
        <v>300</v>
      </c>
      <c r="D64" s="21">
        <f t="shared" si="39"/>
        <v>7.5</v>
      </c>
      <c r="E64" s="6">
        <f t="shared" si="40"/>
        <v>0.375</v>
      </c>
      <c r="V64" s="6"/>
      <c r="W64" s="6"/>
      <c r="X64" s="6">
        <f>'IRMS data'!$D139</f>
        <v>7.5</v>
      </c>
      <c r="AK64" s="17"/>
      <c r="AL64" s="18">
        <f t="shared" si="41"/>
        <v>1.5707963267948966</v>
      </c>
      <c r="AM64" s="15">
        <f t="shared" si="37"/>
        <v>4.7746482927568605</v>
      </c>
      <c r="AN64" s="6">
        <f t="shared" si="42"/>
        <v>4.8701412586119979</v>
      </c>
      <c r="AO64" s="6">
        <f t="shared" si="43"/>
        <v>0.13504744742356548</v>
      </c>
      <c r="AP64" s="15">
        <f>AN64/overview!G$4</f>
        <v>2.6259574468052591</v>
      </c>
    </row>
    <row r="65" spans="1:42" ht="12.75" customHeight="1">
      <c r="C65" s="1">
        <v>340</v>
      </c>
      <c r="D65" s="21">
        <f t="shared" si="39"/>
        <v>9.1</v>
      </c>
      <c r="E65" s="6">
        <f t="shared" si="40"/>
        <v>0.45499999999999996</v>
      </c>
      <c r="V65" s="6"/>
      <c r="W65" s="6"/>
      <c r="X65" s="6">
        <f>'IRMS data'!$D140</f>
        <v>9.1</v>
      </c>
      <c r="AK65" s="17"/>
      <c r="AL65" s="18">
        <f t="shared" si="41"/>
        <v>1.5707963267948966</v>
      </c>
      <c r="AM65" s="15">
        <f t="shared" si="37"/>
        <v>5.79323992854499</v>
      </c>
      <c r="AN65" s="6">
        <f t="shared" si="42"/>
        <v>5.8887328944001274</v>
      </c>
      <c r="AO65" s="6">
        <f t="shared" si="43"/>
        <v>0.13504744742356611</v>
      </c>
      <c r="AP65" s="15">
        <f>AN65/overview!G$4</f>
        <v>3.1751773049606071</v>
      </c>
    </row>
    <row r="66" spans="1:42" ht="12.75" customHeight="1">
      <c r="C66" s="1">
        <v>390</v>
      </c>
      <c r="D66" s="21">
        <f t="shared" si="39"/>
        <v>12.2</v>
      </c>
      <c r="E66" s="6">
        <f t="shared" si="40"/>
        <v>0.61</v>
      </c>
      <c r="V66" s="6"/>
      <c r="W66" s="6"/>
      <c r="X66" s="6">
        <f>'IRMS data'!$D141</f>
        <v>12.2</v>
      </c>
      <c r="AK66" s="17"/>
      <c r="AL66" s="18">
        <f t="shared" si="41"/>
        <v>1.5707963267948966</v>
      </c>
      <c r="AM66" s="15">
        <f t="shared" si="37"/>
        <v>7.766761222884492</v>
      </c>
      <c r="AN66" s="6">
        <f t="shared" si="42"/>
        <v>7.8940851773580087</v>
      </c>
      <c r="AO66" s="6">
        <f t="shared" si="43"/>
        <v>0.18006326323142188</v>
      </c>
      <c r="AP66" s="15">
        <f>AN66/overview!G$4</f>
        <v>4.2564539007039492</v>
      </c>
    </row>
    <row r="67" spans="1:42" ht="12.75" customHeight="1">
      <c r="B67" s="1" t="s">
        <v>110</v>
      </c>
      <c r="C67" s="1">
        <v>100</v>
      </c>
      <c r="D67" s="21">
        <f t="shared" ref="D67:D73" si="45">Y67</f>
        <v>1.1000000000000001</v>
      </c>
      <c r="E67" s="6">
        <f t="shared" ref="E67:E73" si="46">Y67/100*5</f>
        <v>5.5000000000000007E-2</v>
      </c>
      <c r="V67" s="6"/>
      <c r="Y67" s="6">
        <f>'IRMS data'!$D177</f>
        <v>1.1000000000000001</v>
      </c>
      <c r="AK67" s="17"/>
      <c r="AL67" s="18">
        <f t="shared" ref="AL67:AL73" si="47">PI()/4</f>
        <v>0.78539816339744828</v>
      </c>
      <c r="AM67" s="15">
        <f t="shared" si="37"/>
        <v>1.4005634992086791</v>
      </c>
      <c r="AN67" s="6"/>
      <c r="AO67" s="6"/>
      <c r="AP67" s="6"/>
    </row>
    <row r="68" spans="1:42" ht="12.75" customHeight="1">
      <c r="C68" s="2">
        <f t="shared" ref="C68:C71" si="48">C67+50</f>
        <v>150</v>
      </c>
      <c r="D68" s="21">
        <f t="shared" si="45"/>
        <v>3.9</v>
      </c>
      <c r="E68" s="6">
        <f t="shared" si="46"/>
        <v>0.19500000000000001</v>
      </c>
      <c r="V68" s="6"/>
      <c r="Y68" s="6">
        <f>'IRMS data'!$D178</f>
        <v>3.9</v>
      </c>
      <c r="AK68" s="17"/>
      <c r="AL68" s="18">
        <f t="shared" si="47"/>
        <v>0.78539816339744828</v>
      </c>
      <c r="AM68" s="15">
        <f t="shared" si="37"/>
        <v>4.9656342244671343</v>
      </c>
      <c r="AN68" s="6"/>
      <c r="AO68" s="6"/>
      <c r="AP68" s="6"/>
    </row>
    <row r="69" spans="1:42" ht="12.75" customHeight="1">
      <c r="C69" s="2">
        <f t="shared" si="48"/>
        <v>200</v>
      </c>
      <c r="D69" s="21">
        <f t="shared" si="45"/>
        <v>3.6</v>
      </c>
      <c r="E69" s="6">
        <f t="shared" si="46"/>
        <v>0.18000000000000002</v>
      </c>
      <c r="V69" s="6"/>
      <c r="Y69" s="6">
        <f>'IRMS data'!$D179</f>
        <v>3.6</v>
      </c>
      <c r="AK69" s="17"/>
      <c r="AL69" s="18">
        <f t="shared" si="47"/>
        <v>0.78539816339744828</v>
      </c>
      <c r="AM69" s="15">
        <f t="shared" si="37"/>
        <v>4.5836623610465859</v>
      </c>
      <c r="AN69" s="6"/>
      <c r="AO69" s="6"/>
      <c r="AP69" s="6"/>
    </row>
    <row r="70" spans="1:42" ht="12.75" customHeight="1">
      <c r="C70" s="2">
        <f t="shared" si="48"/>
        <v>250</v>
      </c>
      <c r="D70" s="21">
        <f t="shared" si="45"/>
        <v>3.2</v>
      </c>
      <c r="E70" s="6">
        <f t="shared" si="46"/>
        <v>0.16</v>
      </c>
      <c r="V70" s="6"/>
      <c r="Y70" s="6">
        <f>'IRMS data'!$D180</f>
        <v>3.2</v>
      </c>
      <c r="AK70" s="17"/>
      <c r="AL70" s="18">
        <f t="shared" si="47"/>
        <v>0.78539816339744828</v>
      </c>
      <c r="AM70" s="15">
        <f t="shared" si="37"/>
        <v>4.0743665431525207</v>
      </c>
      <c r="AN70" s="6"/>
      <c r="AO70" s="6"/>
      <c r="AP70" s="6"/>
    </row>
    <row r="71" spans="1:42" ht="12.75" customHeight="1">
      <c r="C71" s="2">
        <f t="shared" si="48"/>
        <v>300</v>
      </c>
      <c r="D71" s="21">
        <f t="shared" si="45"/>
        <v>3.9</v>
      </c>
      <c r="E71" s="6">
        <f t="shared" si="46"/>
        <v>0.19500000000000001</v>
      </c>
      <c r="V71" s="6"/>
      <c r="Y71" s="6">
        <f>'IRMS data'!$D181</f>
        <v>3.9</v>
      </c>
      <c r="AK71" s="17"/>
      <c r="AL71" s="18">
        <f t="shared" si="47"/>
        <v>0.78539816339744828</v>
      </c>
      <c r="AM71" s="15">
        <f t="shared" si="37"/>
        <v>4.9656342244671343</v>
      </c>
      <c r="AN71" s="6"/>
      <c r="AO71" s="6"/>
      <c r="AP71" s="6"/>
    </row>
    <row r="72" spans="1:42" ht="12.75" customHeight="1">
      <c r="C72" s="1">
        <v>340</v>
      </c>
      <c r="D72" s="21">
        <f t="shared" si="45"/>
        <v>4.7</v>
      </c>
      <c r="E72" s="6">
        <f t="shared" si="46"/>
        <v>0.23499999999999999</v>
      </c>
      <c r="V72" s="6"/>
      <c r="Y72" s="6">
        <f>'IRMS data'!$D182</f>
        <v>4.7</v>
      </c>
      <c r="AK72" s="17"/>
      <c r="AL72" s="18">
        <f t="shared" si="47"/>
        <v>0.78539816339744828</v>
      </c>
      <c r="AM72" s="15">
        <f t="shared" si="37"/>
        <v>5.9842258602552647</v>
      </c>
      <c r="AN72" s="6"/>
      <c r="AO72" s="6"/>
      <c r="AP72" s="6"/>
    </row>
    <row r="73" spans="1:42" ht="12.75" customHeight="1">
      <c r="C73" s="1">
        <v>390</v>
      </c>
      <c r="D73" s="21">
        <f t="shared" si="45"/>
        <v>6.3</v>
      </c>
      <c r="E73" s="6">
        <f t="shared" si="46"/>
        <v>0.315</v>
      </c>
      <c r="V73" s="6"/>
      <c r="Y73" s="6">
        <f>'IRMS data'!$D183</f>
        <v>6.3</v>
      </c>
      <c r="AK73" s="17"/>
      <c r="AL73" s="18">
        <f t="shared" si="47"/>
        <v>0.78539816339744828</v>
      </c>
      <c r="AM73" s="15">
        <f t="shared" si="37"/>
        <v>8.0214091318315255</v>
      </c>
      <c r="AN73" s="6"/>
      <c r="AO73" s="6"/>
      <c r="AP73" s="6"/>
    </row>
    <row r="74" spans="1:42" ht="12.75" customHeight="1">
      <c r="A74" s="2" t="str">
        <f>CONCATENATE(overview!$C5," ",overview!$D5)</f>
        <v>a-pin, 1-buOH cont flow bag, top</v>
      </c>
      <c r="B74" s="1" t="s">
        <v>111</v>
      </c>
      <c r="C74" s="1">
        <v>100</v>
      </c>
      <c r="D74" s="15">
        <f t="shared" ref="D74:D80" si="49">Z74</f>
        <v>20</v>
      </c>
      <c r="E74" s="6">
        <f t="shared" ref="E74:E80" si="50">Z74/100*5</f>
        <v>1</v>
      </c>
      <c r="V74" s="6"/>
      <c r="Z74" s="6">
        <f>'IRMS data'!$D142</f>
        <v>20</v>
      </c>
      <c r="AK74" s="17"/>
      <c r="AL74" s="18">
        <f t="shared" ref="AL74:AL80" si="51">PI()*(0.5^2)/4</f>
        <v>0.19634954084936207</v>
      </c>
      <c r="AM74" s="15">
        <f t="shared" si="37"/>
        <v>101.85916357881302</v>
      </c>
      <c r="AN74" s="6">
        <f>AVERAGE(AM74,AM81)</f>
        <v>68.415404870436078</v>
      </c>
      <c r="AO74" s="6">
        <f>STDEV(AM74,AM81)</f>
        <v>47.296617142119985</v>
      </c>
      <c r="AP74" s="6">
        <f>AN74/overview!G$5</f>
        <v>36.889267139434224</v>
      </c>
    </row>
    <row r="75" spans="1:42" ht="12.75" customHeight="1">
      <c r="C75" s="2">
        <f t="shared" ref="C75:C78" si="52">C74+50</f>
        <v>150</v>
      </c>
      <c r="D75" s="32">
        <f t="shared" si="49"/>
        <v>66.400000000000006</v>
      </c>
      <c r="E75" s="33">
        <f t="shared" si="50"/>
        <v>3.3200000000000003</v>
      </c>
      <c r="V75" s="6"/>
      <c r="Z75" s="33">
        <f>'IRMS data'!$D143</f>
        <v>66.400000000000006</v>
      </c>
      <c r="AK75" s="17"/>
      <c r="AL75" s="18">
        <f t="shared" si="51"/>
        <v>0.19634954084936207</v>
      </c>
      <c r="AM75" s="32">
        <f t="shared" si="37"/>
        <v>338.17242308165925</v>
      </c>
      <c r="AN75" s="6">
        <f>AVERAGE(AM82)</f>
        <v>141.5842373745501</v>
      </c>
      <c r="AO75" s="6">
        <f>AN75*5/100</f>
        <v>7.079211868727505</v>
      </c>
      <c r="AP75" s="6">
        <f>AN75/overview!G$5</f>
        <v>76.34156028359341</v>
      </c>
    </row>
    <row r="76" spans="1:42" ht="12.75" customHeight="1">
      <c r="C76" s="2">
        <f t="shared" si="52"/>
        <v>200</v>
      </c>
      <c r="D76" s="15">
        <f t="shared" si="49"/>
        <v>27.4</v>
      </c>
      <c r="E76" s="6">
        <f t="shared" si="50"/>
        <v>1.3699999999999999</v>
      </c>
      <c r="V76" s="6"/>
      <c r="Z76" s="6">
        <f>'IRMS data'!$D144</f>
        <v>27.4</v>
      </c>
      <c r="AK76" s="17"/>
      <c r="AL76" s="18">
        <f t="shared" si="51"/>
        <v>0.19634954084936207</v>
      </c>
      <c r="AM76" s="15">
        <f t="shared" si="37"/>
        <v>139.54705410297382</v>
      </c>
      <c r="AN76" s="6">
        <f t="shared" ref="AN76:AN80" si="53">AVERAGE(AM76,AM83)</f>
        <v>102.53822466933843</v>
      </c>
      <c r="AO76" s="6">
        <f t="shared" ref="AO76:AO80" si="54">STDEV(AM76,AM83)</f>
        <v>52.338388512599735</v>
      </c>
      <c r="AP76" s="6">
        <f>AN76/overview!G$5</f>
        <v>55.288132387638392</v>
      </c>
    </row>
    <row r="77" spans="1:42" ht="12.75" customHeight="1">
      <c r="C77" s="2">
        <f t="shared" si="52"/>
        <v>250</v>
      </c>
      <c r="D77" s="15">
        <f t="shared" si="49"/>
        <v>11.5</v>
      </c>
      <c r="E77" s="6">
        <f t="shared" si="50"/>
        <v>0.57500000000000007</v>
      </c>
      <c r="V77" s="6"/>
      <c r="Z77" s="6">
        <f>'IRMS data'!$D145</f>
        <v>11.5</v>
      </c>
      <c r="AK77" s="17"/>
      <c r="AL77" s="18">
        <f t="shared" si="51"/>
        <v>0.19634954084936207</v>
      </c>
      <c r="AM77" s="15">
        <f t="shared" si="37"/>
        <v>58.569019057817485</v>
      </c>
      <c r="AN77" s="6">
        <f t="shared" si="53"/>
        <v>46.770332609938308</v>
      </c>
      <c r="AO77" s="6">
        <f t="shared" si="54"/>
        <v>16.685862392778393</v>
      </c>
      <c r="AP77" s="6">
        <f>AN77/overview!G$5</f>
        <v>25.218345153633074</v>
      </c>
    </row>
    <row r="78" spans="1:42" ht="12.75" customHeight="1">
      <c r="C78" s="2">
        <f t="shared" si="52"/>
        <v>300</v>
      </c>
      <c r="D78" s="15">
        <f t="shared" si="49"/>
        <v>10</v>
      </c>
      <c r="E78" s="6">
        <f t="shared" si="50"/>
        <v>0.5</v>
      </c>
      <c r="V78" s="6"/>
      <c r="Z78" s="6">
        <f>'IRMS data'!$D146</f>
        <v>10</v>
      </c>
      <c r="AK78" s="17"/>
      <c r="AL78" s="18">
        <f t="shared" si="51"/>
        <v>0.19634954084936207</v>
      </c>
      <c r="AM78" s="15">
        <f t="shared" si="37"/>
        <v>50.929581789406512</v>
      </c>
      <c r="AN78" s="6">
        <f t="shared" si="53"/>
        <v>41.422726522050624</v>
      </c>
      <c r="AO78" s="6">
        <f t="shared" si="54"/>
        <v>13.444723654612803</v>
      </c>
      <c r="AP78" s="6">
        <f>AN78/overview!G$5</f>
        <v>22.334940898317495</v>
      </c>
    </row>
    <row r="79" spans="1:42" ht="12.75" customHeight="1">
      <c r="C79" s="1">
        <v>340</v>
      </c>
      <c r="D79" s="15">
        <f t="shared" si="49"/>
        <v>10.3</v>
      </c>
      <c r="E79" s="6">
        <f t="shared" si="50"/>
        <v>0.51500000000000001</v>
      </c>
      <c r="V79" s="6"/>
      <c r="Z79" s="6">
        <f>'IRMS data'!$D147</f>
        <v>10.3</v>
      </c>
      <c r="AK79" s="17"/>
      <c r="AL79" s="18">
        <f t="shared" si="51"/>
        <v>0.19634954084936207</v>
      </c>
      <c r="AM79" s="15">
        <f t="shared" si="37"/>
        <v>52.45746924308871</v>
      </c>
      <c r="AN79" s="6">
        <f t="shared" si="53"/>
        <v>43.035496612048505</v>
      </c>
      <c r="AO79" s="6">
        <f t="shared" si="54"/>
        <v>13.324681479125161</v>
      </c>
      <c r="AP79" s="6">
        <f>AN79/overview!G$5</f>
        <v>23.204539007063467</v>
      </c>
    </row>
    <row r="80" spans="1:42" ht="12.75" customHeight="1">
      <c r="C80" s="1">
        <v>390</v>
      </c>
      <c r="D80" s="15">
        <f t="shared" si="49"/>
        <v>10.5</v>
      </c>
      <c r="E80" s="6">
        <f t="shared" si="50"/>
        <v>0.52500000000000002</v>
      </c>
      <c r="V80" s="6"/>
      <c r="Z80" s="6">
        <f>'IRMS data'!$D148</f>
        <v>10.5</v>
      </c>
      <c r="AK80" s="17"/>
      <c r="AL80" s="18">
        <f t="shared" si="51"/>
        <v>0.19634954084936207</v>
      </c>
      <c r="AM80" s="15">
        <f t="shared" si="37"/>
        <v>53.476060878876837</v>
      </c>
      <c r="AN80" s="6">
        <f t="shared" si="53"/>
        <v>45.41221042888747</v>
      </c>
      <c r="AO80" s="6">
        <f t="shared" si="54"/>
        <v>11.404006671323355</v>
      </c>
      <c r="AP80" s="6">
        <f>AN80/overview!G$5</f>
        <v>24.486052009425944</v>
      </c>
    </row>
    <row r="81" spans="1:42" ht="12.75" customHeight="1">
      <c r="B81" s="1" t="s">
        <v>112</v>
      </c>
      <c r="C81" s="1">
        <v>100</v>
      </c>
      <c r="D81" s="21">
        <f t="shared" ref="D81:D87" si="55">AVERAGE(AA81:AC81)</f>
        <v>3.4333333333333336</v>
      </c>
      <c r="E81" s="6">
        <f t="shared" ref="E81:E87" si="56">STDEV(AA81:AC81)</f>
        <v>0.3511884584284245</v>
      </c>
      <c r="V81" s="6"/>
      <c r="AA81" s="6">
        <f>'IRMS data'!$D149</f>
        <v>3.1</v>
      </c>
      <c r="AB81" s="6">
        <f>'IRMS data'!$D156</f>
        <v>3.8</v>
      </c>
      <c r="AC81" s="6">
        <f>'IRMS data'!$D163</f>
        <v>3.4</v>
      </c>
      <c r="AK81" s="17"/>
      <c r="AL81" s="18">
        <f t="shared" ref="AL81:AL87" si="57">PI()*(0.5^2)/4 *0.5</f>
        <v>9.8174770424681035E-2</v>
      </c>
      <c r="AM81" s="15">
        <f t="shared" si="37"/>
        <v>34.971646162059137</v>
      </c>
      <c r="AN81" s="15"/>
      <c r="AO81" s="15"/>
      <c r="AP81" s="15">
        <f>AM81/overview!G$5</f>
        <v>18.856548463333624</v>
      </c>
    </row>
    <row r="82" spans="1:42" ht="12.75" customHeight="1">
      <c r="C82" s="2">
        <f t="shared" ref="C82:C85" si="58">C81+50</f>
        <v>150</v>
      </c>
      <c r="D82" s="21">
        <f t="shared" si="55"/>
        <v>13.9</v>
      </c>
      <c r="E82" s="6">
        <f t="shared" si="56"/>
        <v>1.4177446878757822</v>
      </c>
      <c r="V82" s="6"/>
      <c r="AA82" s="6">
        <f>'IRMS data'!$D150</f>
        <v>12.3</v>
      </c>
      <c r="AB82" s="6">
        <f>'IRMS data'!$D157</f>
        <v>15</v>
      </c>
      <c r="AC82" s="6">
        <f>'IRMS data'!$D164</f>
        <v>14.4</v>
      </c>
      <c r="AK82" s="17"/>
      <c r="AL82" s="18">
        <f t="shared" si="57"/>
        <v>9.8174770424681035E-2</v>
      </c>
      <c r="AM82" s="15">
        <f t="shared" si="37"/>
        <v>141.5842373745501</v>
      </c>
      <c r="AN82" s="15"/>
      <c r="AO82" s="15"/>
      <c r="AP82" s="15">
        <f>AM82/overview!G$5</f>
        <v>76.34156028359341</v>
      </c>
    </row>
    <row r="83" spans="1:42" ht="12.75" customHeight="1">
      <c r="C83" s="2">
        <f t="shared" si="58"/>
        <v>200</v>
      </c>
      <c r="D83" s="21">
        <f t="shared" si="55"/>
        <v>6.4333333333333327</v>
      </c>
      <c r="E83" s="6">
        <f t="shared" si="56"/>
        <v>0.56862407030773288</v>
      </c>
      <c r="V83" s="6"/>
      <c r="AA83" s="6">
        <f>'IRMS data'!$D151</f>
        <v>5.8</v>
      </c>
      <c r="AB83" s="6">
        <f>'IRMS data'!$D158</f>
        <v>6.9</v>
      </c>
      <c r="AC83" s="6">
        <f>'IRMS data'!$D165</f>
        <v>6.6</v>
      </c>
      <c r="AK83" s="17"/>
      <c r="AL83" s="18">
        <f t="shared" si="57"/>
        <v>9.8174770424681035E-2</v>
      </c>
      <c r="AM83" s="15">
        <f t="shared" si="37"/>
        <v>65.529395235703035</v>
      </c>
      <c r="AN83" s="15"/>
      <c r="AO83" s="15"/>
      <c r="AP83" s="15">
        <f>AM83/overview!G$5</f>
        <v>35.333144207994067</v>
      </c>
    </row>
    <row r="84" spans="1:42" ht="12.75" customHeight="1">
      <c r="C84" s="2">
        <f t="shared" si="58"/>
        <v>250</v>
      </c>
      <c r="D84" s="21">
        <f t="shared" si="55"/>
        <v>3.4333333333333336</v>
      </c>
      <c r="E84" s="6">
        <f t="shared" si="56"/>
        <v>0.28867513459481292</v>
      </c>
      <c r="V84" s="6"/>
      <c r="AA84" s="6">
        <f>'IRMS data'!$D152</f>
        <v>3.1</v>
      </c>
      <c r="AB84" s="6">
        <f>'IRMS data'!$D159</f>
        <v>3.6</v>
      </c>
      <c r="AC84" s="6">
        <f>'IRMS data'!$D166</f>
        <v>3.6</v>
      </c>
      <c r="AK84" s="17"/>
      <c r="AL84" s="18">
        <f t="shared" si="57"/>
        <v>9.8174770424681035E-2</v>
      </c>
      <c r="AM84" s="15">
        <f t="shared" si="37"/>
        <v>34.971646162059137</v>
      </c>
      <c r="AN84" s="15"/>
      <c r="AO84" s="15"/>
      <c r="AP84" s="15">
        <f>AM84/overview!G$5</f>
        <v>18.856548463333624</v>
      </c>
    </row>
    <row r="85" spans="1:42" ht="12.75" customHeight="1">
      <c r="C85" s="2">
        <f t="shared" si="58"/>
        <v>300</v>
      </c>
      <c r="D85" s="21">
        <f t="shared" si="55"/>
        <v>3.1333333333333329</v>
      </c>
      <c r="E85" s="6">
        <f t="shared" si="56"/>
        <v>0.20816659994661327</v>
      </c>
      <c r="V85" s="6"/>
      <c r="AA85" s="6">
        <f>'IRMS data'!$D153</f>
        <v>2.9</v>
      </c>
      <c r="AB85" s="6">
        <f>'IRMS data'!$D160</f>
        <v>3.2</v>
      </c>
      <c r="AC85" s="6">
        <f>'IRMS data'!$D167</f>
        <v>3.3</v>
      </c>
      <c r="AK85" s="17"/>
      <c r="AL85" s="18">
        <f t="shared" si="57"/>
        <v>9.8174770424681035E-2</v>
      </c>
      <c r="AM85" s="15">
        <f t="shared" si="37"/>
        <v>31.915871254694743</v>
      </c>
      <c r="AN85" s="15"/>
      <c r="AO85" s="15"/>
      <c r="AP85" s="15">
        <f>AM85/overview!G$5</f>
        <v>17.208888888867577</v>
      </c>
    </row>
    <row r="86" spans="1:42" ht="12.75" customHeight="1">
      <c r="C86" s="1">
        <v>340</v>
      </c>
      <c r="D86" s="21">
        <f t="shared" si="55"/>
        <v>3.3000000000000003</v>
      </c>
      <c r="E86" s="6">
        <f t="shared" si="56"/>
        <v>0.17320508075688762</v>
      </c>
      <c r="V86" s="6"/>
      <c r="AA86" s="6">
        <f>'IRMS data'!$D154</f>
        <v>3.1</v>
      </c>
      <c r="AB86" s="6">
        <f>'IRMS data'!$D161</f>
        <v>3.4</v>
      </c>
      <c r="AC86" s="6">
        <f>'IRMS data'!$D168</f>
        <v>3.4</v>
      </c>
      <c r="AK86" s="17"/>
      <c r="AL86" s="18">
        <f t="shared" si="57"/>
        <v>9.8174770424681035E-2</v>
      </c>
      <c r="AM86" s="15">
        <f t="shared" si="37"/>
        <v>33.613523981008299</v>
      </c>
      <c r="AN86" s="15"/>
      <c r="AO86" s="15"/>
      <c r="AP86" s="15">
        <f>AM86/overview!G$5</f>
        <v>18.124255319126494</v>
      </c>
    </row>
    <row r="87" spans="1:42" ht="12.75" customHeight="1">
      <c r="C87" s="1">
        <v>390</v>
      </c>
      <c r="D87" s="21">
        <f t="shared" si="55"/>
        <v>3.6666666666666665</v>
      </c>
      <c r="E87" s="6">
        <f t="shared" si="56"/>
        <v>0.32145502536643189</v>
      </c>
      <c r="V87" s="6"/>
      <c r="AA87" s="6">
        <f>'IRMS data'!$D155</f>
        <v>3.3</v>
      </c>
      <c r="AB87" s="6">
        <f>'IRMS data'!$D162</f>
        <v>3.9</v>
      </c>
      <c r="AC87" s="6">
        <f>'IRMS data'!$D169</f>
        <v>3.8</v>
      </c>
      <c r="AK87" s="17"/>
      <c r="AL87" s="18">
        <f t="shared" si="57"/>
        <v>9.8174770424681035E-2</v>
      </c>
      <c r="AM87" s="15">
        <f t="shared" si="37"/>
        <v>37.348359978898102</v>
      </c>
      <c r="AN87" s="15"/>
      <c r="AO87" s="15"/>
      <c r="AP87" s="15">
        <f>AM87/overview!G$5</f>
        <v>20.138061465696101</v>
      </c>
    </row>
    <row r="88" spans="1:42" ht="12.75" customHeight="1">
      <c r="A88" s="2" t="str">
        <f>CONCATENATE(overview!$C6," ",overview!$D6)</f>
        <v>a-pin, cyclohexane cont flow bag, bottom</v>
      </c>
      <c r="B88" s="1" t="s">
        <v>113</v>
      </c>
      <c r="C88" s="1">
        <v>100</v>
      </c>
      <c r="D88" s="15">
        <f t="shared" ref="D88:D94" si="59">AD88</f>
        <v>5</v>
      </c>
      <c r="E88" s="6">
        <f t="shared" ref="E88:E94" si="60">AD88/100*5</f>
        <v>0.25</v>
      </c>
      <c r="V88" s="6"/>
      <c r="AD88" s="6">
        <f>'IRMS data'!$D170</f>
        <v>5</v>
      </c>
      <c r="AK88" s="17"/>
      <c r="AL88" s="18">
        <f t="shared" ref="AL88:AL94" si="61">PI()/4 *2</f>
        <v>1.5707963267948966</v>
      </c>
      <c r="AM88" s="15">
        <f t="shared" si="37"/>
        <v>3.183098861837907</v>
      </c>
      <c r="AN88" s="15"/>
      <c r="AO88" s="15"/>
      <c r="AP88" s="6">
        <f>AM88/overview!G$6</f>
        <v>3.292517006794899</v>
      </c>
    </row>
    <row r="89" spans="1:42" ht="12.75" customHeight="1">
      <c r="C89" s="2">
        <f t="shared" ref="C89:C92" si="62">C88+50</f>
        <v>150</v>
      </c>
      <c r="D89" s="15">
        <f t="shared" si="59"/>
        <v>12.2</v>
      </c>
      <c r="E89" s="6">
        <f t="shared" si="60"/>
        <v>0.61</v>
      </c>
      <c r="V89" s="6"/>
      <c r="AD89" s="6">
        <f>'IRMS data'!$D171</f>
        <v>12.2</v>
      </c>
      <c r="AK89" s="17"/>
      <c r="AL89" s="18">
        <f t="shared" si="61"/>
        <v>1.5707963267948966</v>
      </c>
      <c r="AM89" s="15">
        <f t="shared" si="37"/>
        <v>7.766761222884492</v>
      </c>
      <c r="AN89" s="15"/>
      <c r="AO89" s="15"/>
      <c r="AP89" s="6">
        <f>AM89/overview!G$6</f>
        <v>8.0337414965795517</v>
      </c>
    </row>
    <row r="90" spans="1:42" ht="12.75" customHeight="1">
      <c r="C90" s="2">
        <f t="shared" si="62"/>
        <v>200</v>
      </c>
      <c r="D90" s="15">
        <f t="shared" si="59"/>
        <v>6.1</v>
      </c>
      <c r="E90" s="6">
        <f t="shared" si="60"/>
        <v>0.30499999999999999</v>
      </c>
      <c r="V90" s="6"/>
      <c r="AD90" s="6">
        <f>'IRMS data'!$D172</f>
        <v>6.1</v>
      </c>
      <c r="AK90" s="17"/>
      <c r="AL90" s="18">
        <f t="shared" si="61"/>
        <v>1.5707963267948966</v>
      </c>
      <c r="AM90" s="15">
        <f t="shared" si="37"/>
        <v>3.883380611442246</v>
      </c>
      <c r="AN90" s="15"/>
      <c r="AO90" s="15"/>
      <c r="AP90" s="6">
        <f>AM90/overview!G$6</f>
        <v>4.0168707482897759</v>
      </c>
    </row>
    <row r="91" spans="1:42" ht="12.75" customHeight="1">
      <c r="C91" s="2">
        <f t="shared" si="62"/>
        <v>250</v>
      </c>
      <c r="D91" s="15">
        <f t="shared" si="59"/>
        <v>5.4</v>
      </c>
      <c r="E91" s="6">
        <f t="shared" si="60"/>
        <v>0.27</v>
      </c>
      <c r="V91" s="6"/>
      <c r="AD91" s="6">
        <f>'IRMS data'!$D173</f>
        <v>5.4</v>
      </c>
      <c r="AK91" s="17"/>
      <c r="AL91" s="18">
        <f t="shared" si="61"/>
        <v>1.5707963267948966</v>
      </c>
      <c r="AM91" s="15">
        <f t="shared" si="37"/>
        <v>3.4377467707849396</v>
      </c>
      <c r="AN91" s="15"/>
      <c r="AO91" s="15"/>
      <c r="AP91" s="6">
        <f>AM91/overview!G$6</f>
        <v>3.5559183673384909</v>
      </c>
    </row>
    <row r="92" spans="1:42" ht="12.75" customHeight="1">
      <c r="C92" s="2">
        <f t="shared" si="62"/>
        <v>300</v>
      </c>
      <c r="D92" s="15">
        <f t="shared" si="59"/>
        <v>5.8</v>
      </c>
      <c r="E92" s="6">
        <f t="shared" si="60"/>
        <v>0.28999999999999998</v>
      </c>
      <c r="V92" s="6"/>
      <c r="AD92" s="6">
        <f>'IRMS data'!$D174</f>
        <v>5.8</v>
      </c>
      <c r="AK92" s="17"/>
      <c r="AL92" s="18">
        <f t="shared" si="61"/>
        <v>1.5707963267948966</v>
      </c>
      <c r="AM92" s="15">
        <f t="shared" si="37"/>
        <v>3.6923946797319718</v>
      </c>
      <c r="AN92" s="15"/>
      <c r="AO92" s="15"/>
      <c r="AP92" s="6">
        <f>AM92/overview!G$6</f>
        <v>3.8193197278820823</v>
      </c>
    </row>
    <row r="93" spans="1:42" ht="12.75" customHeight="1">
      <c r="C93" s="1">
        <v>340</v>
      </c>
      <c r="D93" s="15">
        <f t="shared" si="59"/>
        <v>6.8</v>
      </c>
      <c r="E93" s="6">
        <f t="shared" si="60"/>
        <v>0.34</v>
      </c>
      <c r="V93" s="6"/>
      <c r="AD93" s="6">
        <f>'IRMS data'!$D175</f>
        <v>6.8</v>
      </c>
      <c r="AK93" s="17"/>
      <c r="AL93" s="18">
        <f t="shared" si="61"/>
        <v>1.5707963267948966</v>
      </c>
      <c r="AM93" s="15">
        <f t="shared" si="37"/>
        <v>4.3290144520995533</v>
      </c>
      <c r="AN93" s="15"/>
      <c r="AO93" s="15"/>
      <c r="AP93" s="6">
        <f>AM93/overview!G$6</f>
        <v>4.4778231292410622</v>
      </c>
    </row>
    <row r="94" spans="1:42" ht="12.75" customHeight="1">
      <c r="C94" s="1">
        <v>390</v>
      </c>
      <c r="D94" s="15">
        <f t="shared" si="59"/>
        <v>8.1999999999999993</v>
      </c>
      <c r="E94" s="6">
        <f t="shared" si="60"/>
        <v>0.40999999999999992</v>
      </c>
      <c r="V94" s="6"/>
      <c r="AD94" s="6">
        <f>'IRMS data'!$D176</f>
        <v>8.1999999999999993</v>
      </c>
      <c r="AK94" s="17"/>
      <c r="AL94" s="18">
        <f t="shared" si="61"/>
        <v>1.5707963267948966</v>
      </c>
      <c r="AM94" s="15">
        <f t="shared" si="37"/>
        <v>5.2202821334141669</v>
      </c>
      <c r="AN94" s="15"/>
      <c r="AO94" s="15"/>
      <c r="AP94" s="6">
        <f>AM94/overview!G$6</f>
        <v>5.3997278911436339</v>
      </c>
    </row>
    <row r="95" spans="1:42" ht="12.75" customHeight="1">
      <c r="A95" s="2" t="str">
        <f>CONCATENATE(overview!$C7," ",overview!$D7)</f>
        <v>a-pin, cyclohexane cont flow bag, top</v>
      </c>
      <c r="B95" s="1" t="s">
        <v>114</v>
      </c>
      <c r="C95" s="1">
        <v>100</v>
      </c>
      <c r="D95" s="21">
        <f t="shared" ref="D95:D101" si="63">AVERAGE(AE95:AG95)</f>
        <v>3.9333333333333336</v>
      </c>
      <c r="E95" s="6">
        <f t="shared" ref="E95:E101" si="64">STDEV(AE95:AG95)</f>
        <v>1.0785793124908978</v>
      </c>
      <c r="V95" s="6"/>
      <c r="AE95" s="6">
        <f>'IRMS data'!$D2</f>
        <v>2.7</v>
      </c>
      <c r="AF95" s="6">
        <f>'IRMS data'!$D9</f>
        <v>4.4000000000000004</v>
      </c>
      <c r="AG95" s="6">
        <f>'IRMS data'!$D191</f>
        <v>4.7</v>
      </c>
      <c r="AK95" s="17"/>
      <c r="AL95" s="18">
        <f t="shared" ref="AL95:AL101" si="65">PI()*(0.5^2)/4</f>
        <v>0.19634954084936207</v>
      </c>
      <c r="AM95" s="15">
        <f t="shared" si="37"/>
        <v>20.032302170499896</v>
      </c>
      <c r="AN95" s="15"/>
      <c r="AO95" s="15"/>
      <c r="AP95" s="6">
        <f>AM95/overview!G$7</f>
        <v>20.720907029429231</v>
      </c>
    </row>
    <row r="96" spans="1:42" ht="12.75" customHeight="1">
      <c r="C96" s="2">
        <f t="shared" ref="C96:C99" si="66">C95+50</f>
        <v>150</v>
      </c>
      <c r="D96" s="21">
        <f t="shared" si="63"/>
        <v>17.366666666666664</v>
      </c>
      <c r="E96" s="6">
        <f t="shared" si="64"/>
        <v>1.9857828011475309</v>
      </c>
      <c r="V96" s="6"/>
      <c r="AE96" s="6">
        <f>'IRMS data'!$D3</f>
        <v>15.1</v>
      </c>
      <c r="AF96" s="6">
        <f>'IRMS data'!$D10</f>
        <v>18.8</v>
      </c>
      <c r="AG96" s="6">
        <f>'IRMS data'!$D192</f>
        <v>18.2</v>
      </c>
      <c r="AK96" s="17"/>
      <c r="AL96" s="18">
        <f t="shared" si="65"/>
        <v>0.19634954084936207</v>
      </c>
      <c r="AM96" s="15">
        <f t="shared" si="37"/>
        <v>88.447707040935953</v>
      </c>
      <c r="AN96" s="15"/>
      <c r="AO96" s="15"/>
      <c r="AP96" s="6">
        <f>AM96/overview!G$7</f>
        <v>91.4880725621409</v>
      </c>
    </row>
    <row r="97" spans="1:42" ht="12.75" customHeight="1">
      <c r="C97" s="2">
        <f t="shared" si="66"/>
        <v>200</v>
      </c>
      <c r="D97" s="21">
        <f t="shared" si="63"/>
        <v>7.6000000000000005</v>
      </c>
      <c r="E97" s="6">
        <f t="shared" si="64"/>
        <v>0.26457513110645914</v>
      </c>
      <c r="V97" s="6"/>
      <c r="AE97" s="6">
        <f>'IRMS data'!$D4</f>
        <v>7.3</v>
      </c>
      <c r="AF97" s="6">
        <f>'IRMS data'!$D11</f>
        <v>7.7</v>
      </c>
      <c r="AG97" s="6">
        <f>'IRMS data'!$D193</f>
        <v>7.8</v>
      </c>
      <c r="AK97" s="17"/>
      <c r="AL97" s="18">
        <f t="shared" si="65"/>
        <v>0.19634954084936207</v>
      </c>
      <c r="AM97" s="15">
        <f t="shared" si="37"/>
        <v>38.706482159948948</v>
      </c>
      <c r="AN97" s="15"/>
      <c r="AO97" s="15"/>
      <c r="AP97" s="6">
        <f>AM97/overview!G$7</f>
        <v>40.037006802625967</v>
      </c>
    </row>
    <row r="98" spans="1:42" ht="12.75" customHeight="1">
      <c r="C98" s="2">
        <f t="shared" si="66"/>
        <v>250</v>
      </c>
      <c r="D98" s="21">
        <f t="shared" si="63"/>
        <v>4.333333333333333</v>
      </c>
      <c r="E98" s="6">
        <f t="shared" si="64"/>
        <v>0.23094010767584999</v>
      </c>
      <c r="V98" s="6"/>
      <c r="AE98" s="6">
        <f>'IRMS data'!$D5</f>
        <v>4.2</v>
      </c>
      <c r="AF98" s="6">
        <f>'IRMS data'!$D12</f>
        <v>4.2</v>
      </c>
      <c r="AG98" s="6">
        <f>'IRMS data'!$D194</f>
        <v>4.5999999999999996</v>
      </c>
      <c r="AK98" s="17"/>
      <c r="AL98" s="18">
        <f t="shared" si="65"/>
        <v>0.19634954084936207</v>
      </c>
      <c r="AM98" s="15">
        <f t="shared" si="37"/>
        <v>22.069485442076154</v>
      </c>
      <c r="AN98" s="15"/>
      <c r="AO98" s="15"/>
      <c r="AP98" s="6">
        <f>AM98/overview!G$7</f>
        <v>22.828117913777966</v>
      </c>
    </row>
    <row r="99" spans="1:42" ht="12.75" customHeight="1">
      <c r="C99" s="2">
        <f t="shared" si="66"/>
        <v>300</v>
      </c>
      <c r="D99" s="21">
        <f t="shared" si="63"/>
        <v>4.0333333333333332</v>
      </c>
      <c r="E99" s="6">
        <f t="shared" si="64"/>
        <v>0.20816659994661341</v>
      </c>
      <c r="V99" s="6"/>
      <c r="AE99" s="6">
        <f>'IRMS data'!$D6</f>
        <v>4.2</v>
      </c>
      <c r="AF99" s="6">
        <f>'IRMS data'!$D13</f>
        <v>3.8</v>
      </c>
      <c r="AG99" s="6">
        <f>'IRMS data'!$D195</f>
        <v>4.0999999999999996</v>
      </c>
      <c r="AK99" s="17"/>
      <c r="AL99" s="18">
        <f t="shared" si="65"/>
        <v>0.19634954084936207</v>
      </c>
      <c r="AM99" s="15">
        <f t="shared" si="37"/>
        <v>20.54159798839396</v>
      </c>
      <c r="AN99" s="15"/>
      <c r="AO99" s="15"/>
      <c r="AP99" s="6">
        <f>AM99/overview!G$7</f>
        <v>21.247709750516414</v>
      </c>
    </row>
    <row r="100" spans="1:42" ht="12.75" customHeight="1">
      <c r="C100" s="1">
        <v>340</v>
      </c>
      <c r="D100" s="21">
        <f t="shared" si="63"/>
        <v>4.3</v>
      </c>
      <c r="E100" s="6">
        <f t="shared" si="64"/>
        <v>0.26457513110645897</v>
      </c>
      <c r="V100" s="6"/>
      <c r="AE100" s="6">
        <f>'IRMS data'!$D7</f>
        <v>4.5999999999999996</v>
      </c>
      <c r="AF100" s="6">
        <f>'IRMS data'!$D14</f>
        <v>4.0999999999999996</v>
      </c>
      <c r="AG100" s="6">
        <f>'IRMS data'!$D196</f>
        <v>4.2</v>
      </c>
      <c r="AK100" s="17"/>
      <c r="AL100" s="18">
        <f t="shared" si="65"/>
        <v>0.19634954084936207</v>
      </c>
      <c r="AM100" s="15">
        <f t="shared" si="37"/>
        <v>21.899720169444798</v>
      </c>
      <c r="AN100" s="15"/>
      <c r="AO100" s="15"/>
      <c r="AP100" s="6">
        <f>AM100/overview!G$7</f>
        <v>22.652517006748901</v>
      </c>
    </row>
    <row r="101" spans="1:42" ht="12.75" customHeight="1">
      <c r="C101" s="1">
        <v>390</v>
      </c>
      <c r="D101" s="21">
        <f t="shared" si="63"/>
        <v>4.8666666666666663</v>
      </c>
      <c r="E101" s="6">
        <f t="shared" si="64"/>
        <v>0.37859388972001823</v>
      </c>
      <c r="V101" s="6"/>
      <c r="AE101" s="6">
        <f>'IRMS data'!$D8</f>
        <v>5.3</v>
      </c>
      <c r="AF101" s="6">
        <f>'IRMS data'!$D15</f>
        <v>4.5999999999999996</v>
      </c>
      <c r="AG101" s="6">
        <f>'IRMS data'!$D197</f>
        <v>4.7</v>
      </c>
      <c r="AK101" s="17"/>
      <c r="AL101" s="18">
        <f t="shared" si="65"/>
        <v>0.19634954084936207</v>
      </c>
      <c r="AM101" s="15">
        <f t="shared" si="37"/>
        <v>24.785729804177834</v>
      </c>
      <c r="AN101" s="15"/>
      <c r="AO101" s="15"/>
      <c r="AP101" s="6">
        <f>AM101/overview!G$7</f>
        <v>25.637732426242945</v>
      </c>
    </row>
    <row r="102" spans="1:42" ht="12.75" customHeight="1">
      <c r="A102" s="2" t="str">
        <f>CONCATENATE(overview!$C9," ",overview!$D9)</f>
        <v>a-pin, cyclohexane cont flow bag, top</v>
      </c>
      <c r="B102" s="1" t="s">
        <v>115</v>
      </c>
      <c r="C102" s="1">
        <v>100</v>
      </c>
      <c r="D102" s="21">
        <f t="shared" ref="D102:D108" si="67">AVERAGE(AH102:AJ102)</f>
        <v>2.1</v>
      </c>
      <c r="E102" s="6">
        <f t="shared" ref="E102:E108" si="68">STDEV(AH102:AJ102)</f>
        <v>0.17320508075688762</v>
      </c>
      <c r="V102" s="6"/>
      <c r="AH102" s="6">
        <f>'IRMS data'!$D198</f>
        <v>2.2999999999999998</v>
      </c>
      <c r="AI102" s="6">
        <f>'IRMS data'!$D205</f>
        <v>2</v>
      </c>
      <c r="AJ102" s="6">
        <f>'IRMS data'!$D212</f>
        <v>2</v>
      </c>
      <c r="AK102" s="17"/>
      <c r="AL102" s="18">
        <f t="shared" ref="AL102:AL108" si="69">PI()*(0.5^2)/4 *0.5</f>
        <v>9.8174770424681035E-2</v>
      </c>
      <c r="AM102" s="15">
        <f t="shared" si="37"/>
        <v>21.390424351550735</v>
      </c>
      <c r="AN102" s="15"/>
      <c r="AO102" s="15"/>
      <c r="AP102" s="6">
        <f>AM102/overview!G$9</f>
        <v>19.712000000083449</v>
      </c>
    </row>
    <row r="103" spans="1:42" ht="12.75" customHeight="1">
      <c r="C103" s="2">
        <f t="shared" ref="C103:C106" si="70">C102+50</f>
        <v>150</v>
      </c>
      <c r="D103" s="21">
        <f t="shared" si="67"/>
        <v>11.233333333333334</v>
      </c>
      <c r="E103" s="6">
        <f t="shared" si="68"/>
        <v>1.8009256878986657</v>
      </c>
      <c r="V103" s="6"/>
      <c r="AH103" s="6">
        <f>'IRMS data'!$D199</f>
        <v>11.3</v>
      </c>
      <c r="AI103" s="6">
        <f>'IRMS data'!$D206</f>
        <v>9.4</v>
      </c>
      <c r="AJ103" s="6">
        <f>'IRMS data'!$D213</f>
        <v>13</v>
      </c>
      <c r="AK103" s="17"/>
      <c r="AL103" s="18">
        <f t="shared" si="69"/>
        <v>9.8174770424681035E-2</v>
      </c>
      <c r="AM103" s="15">
        <f t="shared" si="37"/>
        <v>114.42179375353331</v>
      </c>
      <c r="AN103" s="15"/>
      <c r="AO103" s="15"/>
      <c r="AP103" s="6">
        <f>AM103/overview!G$9</f>
        <v>105.44355555600197</v>
      </c>
    </row>
    <row r="104" spans="1:42" ht="12.75" customHeight="1">
      <c r="C104" s="2">
        <f t="shared" si="70"/>
        <v>200</v>
      </c>
      <c r="D104" s="21">
        <f t="shared" si="67"/>
        <v>5.3</v>
      </c>
      <c r="E104" s="6">
        <f t="shared" si="68"/>
        <v>0.81853527718724606</v>
      </c>
      <c r="V104" s="6"/>
      <c r="AH104" s="6">
        <f>'IRMS data'!$D200</f>
        <v>5.5</v>
      </c>
      <c r="AI104" s="6">
        <f>'IRMS data'!$D207</f>
        <v>4.4000000000000004</v>
      </c>
      <c r="AJ104" s="6">
        <f>'IRMS data'!$D214</f>
        <v>6</v>
      </c>
      <c r="AK104" s="17"/>
      <c r="AL104" s="18">
        <f t="shared" si="69"/>
        <v>9.8174770424681035E-2</v>
      </c>
      <c r="AM104" s="15">
        <f t="shared" si="37"/>
        <v>53.9853566967709</v>
      </c>
      <c r="AN104" s="15"/>
      <c r="AO104" s="15"/>
      <c r="AP104" s="6">
        <f>AM104/overview!G$9</f>
        <v>49.749333333543944</v>
      </c>
    </row>
    <row r="105" spans="1:42" ht="12.75" customHeight="1">
      <c r="C105" s="2">
        <f t="shared" si="70"/>
        <v>250</v>
      </c>
      <c r="D105" s="21">
        <f t="shared" si="67"/>
        <v>3</v>
      </c>
      <c r="E105" s="6">
        <f t="shared" si="68"/>
        <v>0.43588989435406883</v>
      </c>
      <c r="V105" s="6"/>
      <c r="AH105" s="6">
        <f>'IRMS data'!$D201</f>
        <v>3.2</v>
      </c>
      <c r="AI105" s="6">
        <f>'IRMS data'!$D208</f>
        <v>2.5</v>
      </c>
      <c r="AJ105" s="6">
        <f>'IRMS data'!$D215</f>
        <v>3.3</v>
      </c>
      <c r="AK105" s="17"/>
      <c r="AL105" s="18">
        <f t="shared" si="69"/>
        <v>9.8174770424681035E-2</v>
      </c>
      <c r="AM105" s="15">
        <f t="shared" si="37"/>
        <v>30.557749073643905</v>
      </c>
      <c r="AN105" s="15"/>
      <c r="AO105" s="15"/>
      <c r="AP105" s="6">
        <f>AM105/overview!G$9</f>
        <v>28.160000000119215</v>
      </c>
    </row>
    <row r="106" spans="1:42" ht="12.75" customHeight="1">
      <c r="C106" s="2">
        <f t="shared" si="70"/>
        <v>300</v>
      </c>
      <c r="D106" s="21">
        <f t="shared" si="67"/>
        <v>2.6333333333333333</v>
      </c>
      <c r="E106" s="6">
        <f t="shared" si="68"/>
        <v>0.37859388972001734</v>
      </c>
      <c r="V106" s="6"/>
      <c r="AH106" s="6">
        <f>'IRMS data'!$D202</f>
        <v>2.8</v>
      </c>
      <c r="AI106" s="6">
        <f>'IRMS data'!$D209</f>
        <v>2.2000000000000002</v>
      </c>
      <c r="AJ106" s="6">
        <f>'IRMS data'!$D216</f>
        <v>2.9</v>
      </c>
      <c r="AK106" s="17"/>
      <c r="AL106" s="18">
        <f t="shared" si="69"/>
        <v>9.8174770424681035E-2</v>
      </c>
      <c r="AM106" s="15">
        <f t="shared" si="37"/>
        <v>26.822913075754094</v>
      </c>
      <c r="AN106" s="15"/>
      <c r="AO106" s="15"/>
      <c r="AP106" s="6">
        <f>AM106/overview!G$9</f>
        <v>24.718222222326865</v>
      </c>
    </row>
    <row r="107" spans="1:42" ht="12.75" customHeight="1">
      <c r="C107" s="1">
        <v>340</v>
      </c>
      <c r="D107" s="21">
        <f t="shared" si="67"/>
        <v>2.6333333333333333</v>
      </c>
      <c r="E107" s="6">
        <f t="shared" si="68"/>
        <v>0.37859388972001734</v>
      </c>
      <c r="V107" s="6"/>
      <c r="AH107" s="6">
        <f>'IRMS data'!$D203</f>
        <v>2.8</v>
      </c>
      <c r="AI107" s="6">
        <f>'IRMS data'!$D210</f>
        <v>2.2000000000000002</v>
      </c>
      <c r="AJ107" s="6">
        <f>'IRMS data'!$D217</f>
        <v>2.9</v>
      </c>
      <c r="AK107" s="17"/>
      <c r="AL107" s="18">
        <f t="shared" si="69"/>
        <v>9.8174770424681035E-2</v>
      </c>
      <c r="AM107" s="15">
        <f t="shared" si="37"/>
        <v>26.822913075754094</v>
      </c>
      <c r="AN107" s="15"/>
      <c r="AO107" s="15"/>
      <c r="AP107" s="6">
        <f>AM107/overview!G$9</f>
        <v>24.718222222326865</v>
      </c>
    </row>
    <row r="108" spans="1:42" ht="12.75" customHeight="1">
      <c r="C108" s="1">
        <v>390</v>
      </c>
      <c r="D108" s="21">
        <f t="shared" si="67"/>
        <v>3.0666666666666664</v>
      </c>
      <c r="E108" s="6">
        <f t="shared" si="68"/>
        <v>0.40414518843274105</v>
      </c>
      <c r="V108" s="6"/>
      <c r="AH108" s="6">
        <f>'IRMS data'!$D204</f>
        <v>3.3</v>
      </c>
      <c r="AI108" s="6">
        <f>'IRMS data'!$D211</f>
        <v>2.6</v>
      </c>
      <c r="AJ108" s="6">
        <f>'IRMS data'!$D218</f>
        <v>3.3</v>
      </c>
      <c r="AK108" s="17"/>
      <c r="AL108" s="18">
        <f t="shared" si="69"/>
        <v>9.8174770424681035E-2</v>
      </c>
      <c r="AM108" s="15">
        <f t="shared" si="37"/>
        <v>31.236810164169324</v>
      </c>
      <c r="AN108" s="15"/>
      <c r="AO108" s="15"/>
      <c r="AP108" s="6">
        <f>AM108/overview!G$9</f>
        <v>28.785777777899639</v>
      </c>
    </row>
    <row r="109" spans="1:42" ht="12.75" customHeight="1">
      <c r="D109" s="15"/>
      <c r="E109" s="6"/>
      <c r="V109" s="6"/>
      <c r="AK109" s="17"/>
      <c r="AL109" s="18"/>
      <c r="AM109" s="15"/>
      <c r="AN109" s="15"/>
      <c r="AO109" s="15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02"/>
  <sheetViews>
    <sheetView workbookViewId="0">
      <pane xSplit="5" ySplit="2" topLeftCell="AM3" activePane="bottomRight" state="frozen"/>
      <selection pane="topRight" activeCell="F1" sqref="F1"/>
      <selection pane="bottomLeft" activeCell="A3" sqref="A3"/>
      <selection pane="bottomRight" activeCell="AM3" sqref="AM3"/>
    </sheetView>
  </sheetViews>
  <sheetFormatPr baseColWidth="10" defaultColWidth="14.5" defaultRowHeight="12.75" customHeight="1" x14ac:dyDescent="0"/>
  <cols>
    <col min="1" max="1" width="17.33203125" customWidth="1"/>
    <col min="2" max="2" width="10.1640625" customWidth="1"/>
    <col min="3" max="3" width="11.5" customWidth="1"/>
    <col min="4" max="4" width="9" customWidth="1"/>
    <col min="5" max="5" width="7.6640625" customWidth="1"/>
    <col min="6" max="37" width="17.33203125" customWidth="1"/>
    <col min="38" max="39" width="12.33203125" customWidth="1"/>
    <col min="40" max="40" width="16.33203125" customWidth="1"/>
    <col min="41" max="41" width="17.33203125" customWidth="1"/>
    <col min="42" max="42" width="9.5" customWidth="1"/>
    <col min="43" max="43" width="8.5" customWidth="1"/>
    <col min="44" max="48" width="17.33203125" customWidth="1"/>
  </cols>
  <sheetData>
    <row r="1" spans="1:47" ht="12.75" customHeight="1">
      <c r="A1" s="1" t="s">
        <v>41</v>
      </c>
      <c r="D1" s="16"/>
      <c r="F1" s="2" t="str">
        <f>'IRMS data'!$A58</f>
        <v>20101001_bk_f30_7step</v>
      </c>
      <c r="G1" s="2" t="str">
        <f>'IRMS data'!$A65</f>
        <v>20101001_bk_f30_7step_2</v>
      </c>
      <c r="H1" s="2" t="str">
        <f>'IRMS data'!$A79</f>
        <v>20121002_bk_f30_7step_4</v>
      </c>
      <c r="I1" s="2" t="str">
        <f>'IRMS data'!$A72</f>
        <v>20101002_bk_f30_7step_3</v>
      </c>
      <c r="J1" s="2" t="str">
        <f>'IRMS data'!$A16</f>
        <v>120926_bk_f41_7step_1</v>
      </c>
      <c r="K1" s="2" t="str">
        <f>'IRMS data'!$A23</f>
        <v>120926_bk_f41_7step_2</v>
      </c>
      <c r="L1" s="2" t="str">
        <f>'IRMS data'!$A86</f>
        <v>20121002_bk_f41_7step_3</v>
      </c>
      <c r="M1" s="2" t="str">
        <f>'IRMS data'!$A93</f>
        <v>20121002_bk_f41_7step_4</v>
      </c>
      <c r="N1" s="2" t="str">
        <f>'IRMS data'!$A100</f>
        <v>20121003_bk_f41_7step_5</v>
      </c>
      <c r="O1" s="2" t="str">
        <f>'IRMS data'!$A107</f>
        <v>20121003_bk_f41_7step_6</v>
      </c>
      <c r="P1" s="2" t="str">
        <f>'IRMS data'!$A114</f>
        <v>20121003_bk_f41_7step_7</v>
      </c>
      <c r="Q1" s="2" t="str">
        <f>'IRMS data'!$A30</f>
        <v>120926_bk3_f21_7step_1</v>
      </c>
      <c r="R1" s="2" t="str">
        <f>'IRMS data'!$A37</f>
        <v>120927_bk3_f21_7step_2</v>
      </c>
      <c r="S1" s="2" t="str">
        <f>'IRMS data'!$A121</f>
        <v>20121004_bk3_f21_7step_5</v>
      </c>
      <c r="T1" s="2" t="str">
        <f>'IRMS data'!$A44</f>
        <v>20120927_bk3_f21_7step_3</v>
      </c>
      <c r="U1" s="2" t="str">
        <f>'IRMS data'!$A51</f>
        <v>20120928_bk3_f21_7step_4</v>
      </c>
      <c r="V1" s="2" t="str">
        <f>'IRMS data'!$A128</f>
        <v>20121004_bk3_f21_7step_6</v>
      </c>
      <c r="W1" s="2" t="str">
        <f>'IRMS data'!$A219</f>
        <v>20121005_alpi_f2_7step_1</v>
      </c>
      <c r="X1" s="2" t="str">
        <f>'IRMS data'!$A135</f>
        <v>20121004_alpi_f3_7step_1</v>
      </c>
      <c r="Y1" s="2" t="str">
        <f>'IRMS data'!$A177</f>
        <v>20121004_alpi_f3_7step_2</v>
      </c>
      <c r="Z1" s="2" t="str">
        <f>'IRMS data'!$A142</f>
        <v>20121004_alpi_f4_7step_1</v>
      </c>
      <c r="AA1" s="2" t="str">
        <f>'IRMS data'!$A149</f>
        <v>20121004_alpi_f4_7step_2</v>
      </c>
      <c r="AB1" s="2" t="str">
        <f>'IRMS data'!$A156</f>
        <v>20121004_alpi_f4_7step_3</v>
      </c>
      <c r="AC1" s="2" t="str">
        <f>'IRMS data'!$A163</f>
        <v>20121004_alpi_f4_7step_4</v>
      </c>
      <c r="AD1" s="2" t="str">
        <f>'IRMS data'!$A170</f>
        <v>20121004_alpi_f5_7step_1</v>
      </c>
      <c r="AE1" s="2" t="str">
        <f>'IRMS data'!$A2</f>
        <v>120924_alpi_f6_7step</v>
      </c>
      <c r="AF1" s="2" t="str">
        <f>'IRMS data'!$A9</f>
        <v>120924_alpi_f6_7step_2</v>
      </c>
      <c r="AG1" s="2" t="str">
        <f>'IRMS data'!$A191</f>
        <v>20121005_alpi_f6_7step_3</v>
      </c>
      <c r="AH1" s="2" t="str">
        <f>'IRMS data'!$A198</f>
        <v>20121005_alpi_f8_7step_1</v>
      </c>
      <c r="AI1" s="2" t="str">
        <f>'IRMS data'!$A205</f>
        <v>20121005_alpi_f8_7step_2</v>
      </c>
      <c r="AJ1" s="2" t="str">
        <f>'IRMS data'!$A212</f>
        <v>20121005_alpi_f8_7step_3</v>
      </c>
      <c r="AK1" s="17"/>
      <c r="AL1" s="22"/>
      <c r="AN1" s="21"/>
      <c r="AO1" s="21"/>
      <c r="AP1" s="23"/>
      <c r="AR1" s="15"/>
      <c r="AS1" s="6"/>
      <c r="AT1" s="16"/>
      <c r="AU1" s="16"/>
    </row>
    <row r="2" spans="1:47" ht="12.75" customHeight="1">
      <c r="A2" s="1" t="s">
        <v>54</v>
      </c>
      <c r="B2" s="1" t="s">
        <v>66</v>
      </c>
      <c r="C2" s="1" t="s">
        <v>57</v>
      </c>
      <c r="D2" s="24" t="s">
        <v>67</v>
      </c>
      <c r="E2" s="1" t="s">
        <v>59</v>
      </c>
      <c r="AK2" s="17"/>
      <c r="AL2" s="25" t="s">
        <v>58</v>
      </c>
      <c r="AM2" s="1" t="s">
        <v>68</v>
      </c>
      <c r="AN2" s="26" t="s">
        <v>70</v>
      </c>
      <c r="AO2" s="26" t="s">
        <v>71</v>
      </c>
      <c r="AP2" s="27" t="s">
        <v>72</v>
      </c>
      <c r="AQ2" s="1" t="s">
        <v>73</v>
      </c>
      <c r="AR2" s="19" t="s">
        <v>74</v>
      </c>
      <c r="AS2" s="8" t="s">
        <v>75</v>
      </c>
      <c r="AT2" s="24" t="s">
        <v>32</v>
      </c>
      <c r="AU2" s="24" t="s">
        <v>76</v>
      </c>
    </row>
    <row r="3" spans="1:47" ht="12.75" customHeight="1">
      <c r="A3" s="2" t="str">
        <f>CONCATENATE(overview!$C12," ",overview!$D12)</f>
        <v>handling blank backup</v>
      </c>
      <c r="B3" s="1" t="s">
        <v>64</v>
      </c>
      <c r="C3" s="1">
        <v>100</v>
      </c>
      <c r="D3" s="21">
        <f t="shared" ref="D3:D9" si="0">AVERAGE(F3:H3)</f>
        <v>-21.366666666666664</v>
      </c>
      <c r="E3" s="6">
        <f t="shared" ref="E3:E9" si="1">STDEV(F3:H3)</f>
        <v>2.6388128644019768</v>
      </c>
      <c r="F3" s="6">
        <f>'IRMS data'!$E58</f>
        <v>-24.4</v>
      </c>
      <c r="G3" s="6">
        <f>'IRMS data'!$E65</f>
        <v>-20.100000000000001</v>
      </c>
      <c r="H3" s="6">
        <f>'IRMS data'!$E79</f>
        <v>-19.600000000000001</v>
      </c>
      <c r="AK3" s="17"/>
      <c r="AL3" s="28">
        <f>'peak area'!D3</f>
        <v>0.23333333333333331</v>
      </c>
      <c r="AM3" s="6">
        <f>'peak area'!E3</f>
        <v>5.7735026918962762E-2</v>
      </c>
      <c r="AN3" s="21">
        <f t="shared" ref="AN3:AN51" si="2">AL3</f>
        <v>0.23333333333333331</v>
      </c>
      <c r="AO3" s="21">
        <f t="shared" ref="AO3:AP3" si="3">D3</f>
        <v>-21.366666666666664</v>
      </c>
      <c r="AP3" s="23">
        <f t="shared" si="3"/>
        <v>2.6388128644019768</v>
      </c>
      <c r="AQ3" s="6">
        <f t="shared" ref="AQ3:AQ51" si="4">1/AP3^2</f>
        <v>0.14360938247965466</v>
      </c>
      <c r="AR3" s="15">
        <v>-19.453242469999999</v>
      </c>
      <c r="AS3" s="6">
        <f t="shared" ref="AS3:AS9" si="5">SQRT( 1/SUM(AQ3,AQ10) )</f>
        <v>0.90215427782879021</v>
      </c>
      <c r="AT3" s="16"/>
      <c r="AU3" s="16"/>
    </row>
    <row r="4" spans="1:47" ht="12.75" customHeight="1">
      <c r="C4" s="2">
        <f t="shared" ref="C4:C7" si="6">C3+50</f>
        <v>150</v>
      </c>
      <c r="D4" s="21">
        <f t="shared" si="0"/>
        <v>-23.3</v>
      </c>
      <c r="E4" s="6">
        <f t="shared" si="1"/>
        <v>1.6643316977093248</v>
      </c>
      <c r="F4" s="6">
        <f>'IRMS data'!$E59</f>
        <v>-24</v>
      </c>
      <c r="G4" s="6">
        <f>'IRMS data'!$E66</f>
        <v>-24.5</v>
      </c>
      <c r="H4" s="6">
        <f>'IRMS data'!$E80</f>
        <v>-21.4</v>
      </c>
      <c r="AK4" s="17"/>
      <c r="AL4" s="28">
        <f>'peak area'!D4</f>
        <v>0.3</v>
      </c>
      <c r="AM4" s="6">
        <f>'peak area'!E4</f>
        <v>0</v>
      </c>
      <c r="AN4" s="21">
        <f t="shared" si="2"/>
        <v>0.3</v>
      </c>
      <c r="AO4" s="21">
        <f t="shared" ref="AO4:AP4" si="7">D4</f>
        <v>-23.3</v>
      </c>
      <c r="AP4" s="23">
        <f t="shared" si="7"/>
        <v>1.6643316977093248</v>
      </c>
      <c r="AQ4" s="6">
        <f t="shared" si="4"/>
        <v>0.36101083032490933</v>
      </c>
      <c r="AR4" s="15">
        <v>-21.113287369999998</v>
      </c>
      <c r="AS4" s="6">
        <f t="shared" si="5"/>
        <v>0.86656525395085338</v>
      </c>
      <c r="AT4" s="16"/>
      <c r="AU4" s="16"/>
    </row>
    <row r="5" spans="1:47" ht="12.75" customHeight="1">
      <c r="C5" s="2">
        <f t="shared" si="6"/>
        <v>200</v>
      </c>
      <c r="D5" s="21">
        <f t="shared" si="0"/>
        <v>-22.066666666666666</v>
      </c>
      <c r="E5" s="6">
        <f t="shared" si="1"/>
        <v>2.0108041509140908</v>
      </c>
      <c r="F5" s="6">
        <f>'IRMS data'!$E60</f>
        <v>-24.3</v>
      </c>
      <c r="G5" s="6">
        <f>'IRMS data'!$E67</f>
        <v>-20.399999999999999</v>
      </c>
      <c r="H5" s="6">
        <f>'IRMS data'!$E81</f>
        <v>-21.5</v>
      </c>
      <c r="AK5" s="17"/>
      <c r="AL5" s="28">
        <f>'peak area'!D5</f>
        <v>0.26666666666666666</v>
      </c>
      <c r="AM5" s="6">
        <f>'peak area'!E5</f>
        <v>5.7735026918962401E-2</v>
      </c>
      <c r="AN5" s="21">
        <f t="shared" si="2"/>
        <v>0.26666666666666666</v>
      </c>
      <c r="AO5" s="21">
        <f t="shared" ref="AO5:AP5" si="8">D5</f>
        <v>-22.066666666666666</v>
      </c>
      <c r="AP5" s="23">
        <f t="shared" si="8"/>
        <v>2.0108041509140908</v>
      </c>
      <c r="AQ5" s="6">
        <f t="shared" si="4"/>
        <v>0.24732069249793875</v>
      </c>
      <c r="AR5" s="15">
        <v>-20.98624319</v>
      </c>
      <c r="AS5" s="6">
        <f t="shared" si="5"/>
        <v>0.9202504844369801</v>
      </c>
      <c r="AT5" s="16"/>
      <c r="AU5" s="16"/>
    </row>
    <row r="6" spans="1:47" ht="12.75" customHeight="1">
      <c r="C6" s="2">
        <f t="shared" si="6"/>
        <v>250</v>
      </c>
      <c r="D6" s="21">
        <f t="shared" si="0"/>
        <v>-23.966666666666669</v>
      </c>
      <c r="E6" s="6">
        <f t="shared" si="1"/>
        <v>0.1154700538379268</v>
      </c>
      <c r="F6" s="6">
        <f>'IRMS data'!$E61</f>
        <v>-23.9</v>
      </c>
      <c r="G6" s="6">
        <f>'IRMS data'!$E68</f>
        <v>-23.9</v>
      </c>
      <c r="H6" s="6">
        <f>'IRMS data'!$E82</f>
        <v>-24.1</v>
      </c>
      <c r="AK6" s="17"/>
      <c r="AL6" s="28">
        <f>'peak area'!D6</f>
        <v>0.43333333333333335</v>
      </c>
      <c r="AM6" s="6">
        <f>'peak area'!E6</f>
        <v>5.7735026918962762E-2</v>
      </c>
      <c r="AN6" s="21">
        <f t="shared" si="2"/>
        <v>0.43333333333333335</v>
      </c>
      <c r="AO6" s="21">
        <f t="shared" ref="AO6:AP6" si="9">D6</f>
        <v>-23.966666666666669</v>
      </c>
      <c r="AP6" s="23">
        <f t="shared" si="9"/>
        <v>0.1154700538379268</v>
      </c>
      <c r="AQ6" s="6">
        <f t="shared" si="4"/>
        <v>74.999999999997854</v>
      </c>
      <c r="AR6" s="15">
        <v>-23.960181070000001</v>
      </c>
      <c r="AS6" s="6">
        <f t="shared" si="5"/>
        <v>0.11490701194954933</v>
      </c>
      <c r="AT6" s="16"/>
      <c r="AU6" s="16"/>
    </row>
    <row r="7" spans="1:47" ht="12.75" customHeight="1">
      <c r="C7" s="2">
        <f t="shared" si="6"/>
        <v>300</v>
      </c>
      <c r="D7" s="21">
        <f t="shared" si="0"/>
        <v>-24.566666666666663</v>
      </c>
      <c r="E7" s="6">
        <f t="shared" si="1"/>
        <v>0.73711147958319834</v>
      </c>
      <c r="F7" s="6">
        <f>'IRMS data'!$E62</f>
        <v>-24.3</v>
      </c>
      <c r="G7" s="6">
        <f>'IRMS data'!$E69</f>
        <v>-24</v>
      </c>
      <c r="H7" s="6">
        <f>'IRMS data'!$E83</f>
        <v>-25.4</v>
      </c>
      <c r="AK7" s="17"/>
      <c r="AL7" s="28">
        <f>'peak area'!D7</f>
        <v>0.33333333333333331</v>
      </c>
      <c r="AM7" s="6">
        <f>'peak area'!E7</f>
        <v>5.7735026918962762E-2</v>
      </c>
      <c r="AN7" s="21">
        <f t="shared" si="2"/>
        <v>0.33333333333333331</v>
      </c>
      <c r="AO7" s="21">
        <f t="shared" ref="AO7:AP7" si="10">D7</f>
        <v>-24.566666666666663</v>
      </c>
      <c r="AP7" s="23">
        <f t="shared" si="10"/>
        <v>0.73711147958319834</v>
      </c>
      <c r="AQ7" s="6">
        <f t="shared" si="4"/>
        <v>1.8404907975460176</v>
      </c>
      <c r="AR7" s="15">
        <v>-24.235175269999999</v>
      </c>
      <c r="AS7" s="6">
        <f t="shared" si="5"/>
        <v>0.62366101099503335</v>
      </c>
      <c r="AT7" s="16"/>
      <c r="AU7" s="16"/>
    </row>
    <row r="8" spans="1:47" ht="12.75" customHeight="1">
      <c r="C8" s="1">
        <v>340</v>
      </c>
      <c r="D8" s="21">
        <f t="shared" si="0"/>
        <v>-24.266666666666666</v>
      </c>
      <c r="E8" s="6">
        <f t="shared" si="1"/>
        <v>1.250333288900737</v>
      </c>
      <c r="F8" s="6">
        <f>'IRMS data'!$E63</f>
        <v>-23.7</v>
      </c>
      <c r="G8" s="6">
        <f>'IRMS data'!$E70</f>
        <v>-23.4</v>
      </c>
      <c r="H8" s="6">
        <f>'IRMS data'!$E84</f>
        <v>-25.7</v>
      </c>
      <c r="AK8" s="17"/>
      <c r="AL8" s="28">
        <f>'peak area'!D8</f>
        <v>0.43333333333333335</v>
      </c>
      <c r="AM8" s="6">
        <f>'peak area'!E8</f>
        <v>5.7735026918962762E-2</v>
      </c>
      <c r="AN8" s="21">
        <f t="shared" si="2"/>
        <v>0.43333333333333335</v>
      </c>
      <c r="AO8" s="21">
        <f t="shared" ref="AO8:AP8" si="11">D8</f>
        <v>-24.266666666666666</v>
      </c>
      <c r="AP8" s="23">
        <f t="shared" si="11"/>
        <v>1.250333288900737</v>
      </c>
      <c r="AQ8" s="6">
        <f t="shared" si="4"/>
        <v>0.6396588486140723</v>
      </c>
      <c r="AR8" s="15">
        <v>-23.63716604</v>
      </c>
      <c r="AS8" s="6">
        <f t="shared" si="5"/>
        <v>0.84841174703109368</v>
      </c>
      <c r="AT8" s="16"/>
      <c r="AU8" s="16"/>
    </row>
    <row r="9" spans="1:47" ht="12.75" customHeight="1">
      <c r="C9" s="1">
        <v>390</v>
      </c>
      <c r="D9" s="21">
        <f t="shared" si="0"/>
        <v>-25.7</v>
      </c>
      <c r="E9" s="6">
        <f t="shared" si="1"/>
        <v>1.7088007490635055</v>
      </c>
      <c r="F9" s="6">
        <f>'IRMS data'!$E64</f>
        <v>-25.5</v>
      </c>
      <c r="G9" s="6">
        <f>'IRMS data'!$E71</f>
        <v>-24.1</v>
      </c>
      <c r="H9" s="6">
        <f>'IRMS data'!$E85</f>
        <v>-27.5</v>
      </c>
      <c r="AK9" s="17"/>
      <c r="AL9" s="28">
        <f>'peak area'!D9</f>
        <v>0.6333333333333333</v>
      </c>
      <c r="AM9" s="6">
        <f>'peak area'!E9</f>
        <v>0.11547005383792504</v>
      </c>
      <c r="AN9" s="21">
        <f t="shared" si="2"/>
        <v>0.6333333333333333</v>
      </c>
      <c r="AO9" s="21">
        <f t="shared" ref="AO9:AP9" si="12">D9</f>
        <v>-25.7</v>
      </c>
      <c r="AP9" s="23">
        <f t="shared" si="12"/>
        <v>1.7088007490635055</v>
      </c>
      <c r="AQ9" s="6">
        <f t="shared" si="4"/>
        <v>0.34246575342465779</v>
      </c>
      <c r="AR9" s="15">
        <v>-25.376102580000001</v>
      </c>
      <c r="AS9" s="6">
        <f t="shared" si="5"/>
        <v>1.0141198551767774</v>
      </c>
      <c r="AT9" s="16"/>
      <c r="AU9" s="16"/>
    </row>
    <row r="10" spans="1:47" ht="12.75" customHeight="1">
      <c r="B10" s="1" t="s">
        <v>81</v>
      </c>
      <c r="C10" s="1">
        <v>100</v>
      </c>
      <c r="D10" s="15">
        <f t="shared" ref="D10:D16" si="13">I10</f>
        <v>-19.2</v>
      </c>
      <c r="E10" s="6">
        <f t="shared" ref="E10:E16" si="14">ABS(I10/100*5)</f>
        <v>0.96</v>
      </c>
      <c r="I10" s="6">
        <f>'IRMS data'!$E72</f>
        <v>-19.2</v>
      </c>
      <c r="AK10" s="17"/>
      <c r="AL10" s="28">
        <f>'peak area'!D10</f>
        <v>0.2</v>
      </c>
      <c r="AM10" s="6">
        <f>'peak area'!E10</f>
        <v>0.01</v>
      </c>
      <c r="AN10" s="21">
        <f t="shared" si="2"/>
        <v>0.2</v>
      </c>
      <c r="AO10" s="21">
        <f t="shared" ref="AO10:AP10" si="15">D10</f>
        <v>-19.2</v>
      </c>
      <c r="AP10" s="23">
        <f t="shared" si="15"/>
        <v>0.96</v>
      </c>
      <c r="AQ10" s="6">
        <f t="shared" si="4"/>
        <v>1.0850694444444444</v>
      </c>
      <c r="AR10" s="15"/>
      <c r="AS10" s="6"/>
      <c r="AT10" s="16"/>
      <c r="AU10" s="16"/>
    </row>
    <row r="11" spans="1:47" ht="12.75" customHeight="1">
      <c r="C11" s="2">
        <f t="shared" ref="C11:C14" si="16">C10+50</f>
        <v>150</v>
      </c>
      <c r="D11" s="15">
        <f t="shared" si="13"/>
        <v>-20.3</v>
      </c>
      <c r="E11" s="6">
        <f t="shared" si="14"/>
        <v>1.0150000000000001</v>
      </c>
      <c r="I11" s="6">
        <f>'IRMS data'!$E73</f>
        <v>-20.3</v>
      </c>
      <c r="AK11" s="17"/>
      <c r="AL11" s="28">
        <f>'peak area'!D11</f>
        <v>0.2</v>
      </c>
      <c r="AM11" s="6">
        <f>'peak area'!E11</f>
        <v>0.01</v>
      </c>
      <c r="AN11" s="21">
        <f t="shared" si="2"/>
        <v>0.2</v>
      </c>
      <c r="AO11" s="21">
        <f t="shared" ref="AO11:AP11" si="17">D11</f>
        <v>-20.3</v>
      </c>
      <c r="AP11" s="23">
        <f t="shared" si="17"/>
        <v>1.0150000000000001</v>
      </c>
      <c r="AQ11" s="6">
        <f t="shared" si="4"/>
        <v>0.97066174864714005</v>
      </c>
      <c r="AR11" s="15"/>
      <c r="AS11" s="6"/>
      <c r="AT11" s="16"/>
      <c r="AU11" s="16"/>
    </row>
    <row r="12" spans="1:47" ht="12.75" customHeight="1">
      <c r="C12" s="2">
        <f t="shared" si="16"/>
        <v>200</v>
      </c>
      <c r="D12" s="15">
        <f t="shared" si="13"/>
        <v>-20.7</v>
      </c>
      <c r="E12" s="6">
        <f t="shared" si="14"/>
        <v>1.0349999999999999</v>
      </c>
      <c r="I12" s="6">
        <f>'IRMS data'!$E74</f>
        <v>-20.7</v>
      </c>
      <c r="AK12" s="17"/>
      <c r="AL12" s="28">
        <f>'peak area'!D12</f>
        <v>0.2</v>
      </c>
      <c r="AM12" s="6">
        <f>'peak area'!E12</f>
        <v>0.01</v>
      </c>
      <c r="AN12" s="21">
        <f t="shared" si="2"/>
        <v>0.2</v>
      </c>
      <c r="AO12" s="21">
        <f t="shared" ref="AO12:AP12" si="18">D12</f>
        <v>-20.7</v>
      </c>
      <c r="AP12" s="23">
        <f t="shared" si="18"/>
        <v>1.0349999999999999</v>
      </c>
      <c r="AQ12" s="6">
        <f t="shared" si="4"/>
        <v>0.93351070036640305</v>
      </c>
      <c r="AR12" s="15"/>
      <c r="AS12" s="6"/>
      <c r="AT12" s="16"/>
      <c r="AU12" s="16"/>
    </row>
    <row r="13" spans="1:47" ht="12.75" customHeight="1">
      <c r="C13" s="2">
        <f t="shared" si="16"/>
        <v>250</v>
      </c>
      <c r="D13" s="15">
        <f t="shared" si="13"/>
        <v>-23.3</v>
      </c>
      <c r="E13" s="6">
        <f t="shared" si="14"/>
        <v>1.165</v>
      </c>
      <c r="I13" s="6">
        <f>'IRMS data'!$E75</f>
        <v>-23.3</v>
      </c>
      <c r="AK13" s="17"/>
      <c r="AL13" s="28">
        <f>'peak area'!D13</f>
        <v>0.3</v>
      </c>
      <c r="AM13" s="6">
        <f>'peak area'!E13</f>
        <v>1.4999999999999999E-2</v>
      </c>
      <c r="AN13" s="21">
        <f t="shared" si="2"/>
        <v>0.3</v>
      </c>
      <c r="AO13" s="21">
        <f t="shared" ref="AO13:AP13" si="19">D13</f>
        <v>-23.3</v>
      </c>
      <c r="AP13" s="23">
        <f t="shared" si="19"/>
        <v>1.165</v>
      </c>
      <c r="AQ13" s="6">
        <f t="shared" si="4"/>
        <v>0.73679750962441737</v>
      </c>
      <c r="AR13" s="15"/>
      <c r="AS13" s="6"/>
      <c r="AT13" s="16"/>
      <c r="AU13" s="16"/>
    </row>
    <row r="14" spans="1:47" ht="12.75" customHeight="1">
      <c r="C14" s="2">
        <f t="shared" si="16"/>
        <v>300</v>
      </c>
      <c r="D14" s="15">
        <f t="shared" si="13"/>
        <v>-23.4</v>
      </c>
      <c r="E14" s="6">
        <f t="shared" si="14"/>
        <v>1.17</v>
      </c>
      <c r="I14" s="6">
        <f>'IRMS data'!$E76</f>
        <v>-23.4</v>
      </c>
      <c r="AK14" s="17"/>
      <c r="AL14" s="28">
        <f>'peak area'!D14</f>
        <v>0.3</v>
      </c>
      <c r="AM14" s="6">
        <f>'peak area'!E14</f>
        <v>1.4999999999999999E-2</v>
      </c>
      <c r="AN14" s="21">
        <f t="shared" si="2"/>
        <v>0.3</v>
      </c>
      <c r="AO14" s="21">
        <f t="shared" ref="AO14:AP14" si="20">D14</f>
        <v>-23.4</v>
      </c>
      <c r="AP14" s="23">
        <f t="shared" si="20"/>
        <v>1.17</v>
      </c>
      <c r="AQ14" s="6">
        <f t="shared" si="4"/>
        <v>0.73051355102637161</v>
      </c>
      <c r="AR14" s="15"/>
      <c r="AS14" s="6"/>
      <c r="AT14" s="16"/>
      <c r="AU14" s="16"/>
    </row>
    <row r="15" spans="1:47" ht="12.75" customHeight="1">
      <c r="C15" s="1">
        <v>340</v>
      </c>
      <c r="D15" s="15">
        <f t="shared" si="13"/>
        <v>-23.1</v>
      </c>
      <c r="E15" s="6">
        <f t="shared" si="14"/>
        <v>1.155</v>
      </c>
      <c r="I15" s="6">
        <f>'IRMS data'!$E77</f>
        <v>-23.1</v>
      </c>
      <c r="AK15" s="17"/>
      <c r="AL15" s="28">
        <f>'peak area'!D15</f>
        <v>0.4</v>
      </c>
      <c r="AM15" s="6">
        <f>'peak area'!E15</f>
        <v>0.02</v>
      </c>
      <c r="AN15" s="21">
        <f t="shared" si="2"/>
        <v>0.4</v>
      </c>
      <c r="AO15" s="21">
        <f t="shared" ref="AO15:AP15" si="21">D15</f>
        <v>-23.1</v>
      </c>
      <c r="AP15" s="23">
        <f t="shared" si="21"/>
        <v>1.155</v>
      </c>
      <c r="AQ15" s="6">
        <f t="shared" si="4"/>
        <v>0.74961113922152878</v>
      </c>
      <c r="AR15" s="15"/>
      <c r="AS15" s="6"/>
      <c r="AT15" s="16"/>
      <c r="AU15" s="16"/>
    </row>
    <row r="16" spans="1:47" ht="12.75" customHeight="1">
      <c r="C16" s="1">
        <v>390</v>
      </c>
      <c r="D16" s="15">
        <f t="shared" si="13"/>
        <v>-25.2</v>
      </c>
      <c r="E16" s="6">
        <f t="shared" si="14"/>
        <v>1.26</v>
      </c>
      <c r="I16" s="6">
        <f>'IRMS data'!$E78</f>
        <v>-25.2</v>
      </c>
      <c r="AK16" s="17"/>
      <c r="AL16" s="28">
        <f>'peak area'!D16</f>
        <v>0.5</v>
      </c>
      <c r="AM16" s="6">
        <f>'peak area'!E16</f>
        <v>2.5000000000000001E-2</v>
      </c>
      <c r="AN16" s="21">
        <f t="shared" si="2"/>
        <v>0.5</v>
      </c>
      <c r="AO16" s="21">
        <f t="shared" ref="AO16:AP16" si="22">D16</f>
        <v>-25.2</v>
      </c>
      <c r="AP16" s="23">
        <f t="shared" si="22"/>
        <v>1.26</v>
      </c>
      <c r="AQ16" s="6">
        <f t="shared" si="4"/>
        <v>0.62988158226253455</v>
      </c>
      <c r="AR16" s="15"/>
      <c r="AS16" s="6"/>
      <c r="AT16" s="16"/>
      <c r="AU16" s="16"/>
    </row>
    <row r="17" spans="1:47" ht="12.75" customHeight="1">
      <c r="A17" s="2" t="str">
        <f>CONCATENATE(overview!$C13," ",overview!$D13)</f>
        <v>handling blank front</v>
      </c>
      <c r="B17" s="1" t="s">
        <v>84</v>
      </c>
      <c r="C17" s="1">
        <v>100</v>
      </c>
      <c r="D17" s="21">
        <f t="shared" ref="D17:D23" si="23">AVERAGE(J17:L17)</f>
        <v>-21.5</v>
      </c>
      <c r="E17" s="6">
        <f t="shared" ref="E17:E23" si="24">STDEV(J17:L17)</f>
        <v>1.9672315572906014</v>
      </c>
      <c r="J17" s="6">
        <f>'IRMS data'!$E16</f>
        <v>-21.8</v>
      </c>
      <c r="K17" s="6">
        <f>'IRMS data'!$E23</f>
        <v>-19.399999999999999</v>
      </c>
      <c r="L17" s="6">
        <f>'IRMS data'!$E86</f>
        <v>-23.3</v>
      </c>
      <c r="AK17" s="17"/>
      <c r="AL17" s="28">
        <f>'peak area'!D17</f>
        <v>0.23333333333333331</v>
      </c>
      <c r="AM17" s="6">
        <f>'peak area'!E17</f>
        <v>5.7735026918962762E-2</v>
      </c>
      <c r="AN17" s="21">
        <f t="shared" si="2"/>
        <v>0.23333333333333331</v>
      </c>
      <c r="AO17" s="21">
        <f t="shared" ref="AO17:AP17" si="25">D17</f>
        <v>-21.5</v>
      </c>
      <c r="AP17" s="23">
        <f t="shared" si="25"/>
        <v>1.9672315572906014</v>
      </c>
      <c r="AQ17" s="6">
        <f t="shared" si="4"/>
        <v>0.25839793281653717</v>
      </c>
      <c r="AR17" s="15">
        <v>-20.037018539999998</v>
      </c>
      <c r="AS17" s="6">
        <f t="shared" ref="AS17:AS23" si="26">SQRT( 1/SUM(AQ17,AQ24) )</f>
        <v>0.81562400081103681</v>
      </c>
      <c r="AT17" s="16"/>
      <c r="AU17" s="16"/>
    </row>
    <row r="18" spans="1:47" ht="12.75" customHeight="1">
      <c r="C18" s="2">
        <f t="shared" ref="C18:C21" si="27">C17+50</f>
        <v>150</v>
      </c>
      <c r="D18" s="21">
        <f t="shared" si="23"/>
        <v>-22.366666666666664</v>
      </c>
      <c r="E18" s="6">
        <f t="shared" si="24"/>
        <v>0.66583281184793985</v>
      </c>
      <c r="J18" s="6">
        <f>'IRMS data'!$E17</f>
        <v>-21.8</v>
      </c>
      <c r="K18" s="6">
        <f>'IRMS data'!$E24</f>
        <v>-22.2</v>
      </c>
      <c r="L18" s="6">
        <f>'IRMS data'!$E87</f>
        <v>-23.1</v>
      </c>
      <c r="AK18" s="17"/>
      <c r="AL18" s="28">
        <f>'peak area'!D18</f>
        <v>0.23333333333333331</v>
      </c>
      <c r="AM18" s="6">
        <f>'peak area'!E18</f>
        <v>5.7735026918962762E-2</v>
      </c>
      <c r="AN18" s="21">
        <f t="shared" si="2"/>
        <v>0.23333333333333331</v>
      </c>
      <c r="AO18" s="21">
        <f t="shared" ref="AO18:AP18" si="28">D18</f>
        <v>-22.366666666666664</v>
      </c>
      <c r="AP18" s="23">
        <f t="shared" si="28"/>
        <v>0.66583281184793985</v>
      </c>
      <c r="AQ18" s="6">
        <f t="shared" si="4"/>
        <v>2.255639097744357</v>
      </c>
      <c r="AR18" s="15">
        <v>-21.127941180000001</v>
      </c>
      <c r="AS18" s="6">
        <f t="shared" si="26"/>
        <v>9.8890908402672756E-2</v>
      </c>
      <c r="AT18" s="16"/>
      <c r="AU18" s="16"/>
    </row>
    <row r="19" spans="1:47" ht="12.75" customHeight="1">
      <c r="C19" s="2">
        <f t="shared" si="27"/>
        <v>200</v>
      </c>
      <c r="D19" s="21">
        <f t="shared" si="23"/>
        <v>-24.099999999999998</v>
      </c>
      <c r="E19" s="6">
        <f t="shared" si="24"/>
        <v>0.87177978870813566</v>
      </c>
      <c r="J19" s="6">
        <f>'IRMS data'!$E18</f>
        <v>-25.1</v>
      </c>
      <c r="K19" s="6">
        <f>'IRMS data'!$E25</f>
        <v>-23.5</v>
      </c>
      <c r="L19" s="6">
        <f>'IRMS data'!$E88</f>
        <v>-23.7</v>
      </c>
      <c r="AK19" s="17"/>
      <c r="AL19" s="28">
        <f>'peak area'!D19</f>
        <v>0.33333333333333331</v>
      </c>
      <c r="AM19" s="6">
        <f>'peak area'!E19</f>
        <v>5.7735026918962519E-2</v>
      </c>
      <c r="AN19" s="21">
        <f t="shared" si="2"/>
        <v>0.33333333333333331</v>
      </c>
      <c r="AO19" s="21">
        <f t="shared" ref="AO19:AP19" si="29">D19</f>
        <v>-24.099999999999998</v>
      </c>
      <c r="AP19" s="23">
        <f t="shared" si="29"/>
        <v>0.87177978870813566</v>
      </c>
      <c r="AQ19" s="6">
        <f t="shared" si="4"/>
        <v>1.3157894736842077</v>
      </c>
      <c r="AR19" s="15">
        <v>-22.378125000000001</v>
      </c>
      <c r="AS19" s="6">
        <f t="shared" si="26"/>
        <v>0.28831406486677036</v>
      </c>
      <c r="AT19" s="16"/>
      <c r="AU19" s="16"/>
    </row>
    <row r="20" spans="1:47" ht="12.75" customHeight="1">
      <c r="C20" s="2">
        <f t="shared" si="27"/>
        <v>250</v>
      </c>
      <c r="D20" s="21">
        <f t="shared" si="23"/>
        <v>-25.2</v>
      </c>
      <c r="E20" s="6">
        <f t="shared" si="24"/>
        <v>0.62449979983983928</v>
      </c>
      <c r="J20" s="6">
        <f>'IRMS data'!$E19</f>
        <v>-25.9</v>
      </c>
      <c r="K20" s="6">
        <f>'IRMS data'!$E26</f>
        <v>-25</v>
      </c>
      <c r="L20" s="6">
        <f>'IRMS data'!$E89</f>
        <v>-24.7</v>
      </c>
      <c r="AK20" s="17"/>
      <c r="AL20" s="28">
        <f>'peak area'!D20</f>
        <v>0.43333333333333335</v>
      </c>
      <c r="AM20" s="6">
        <f>'peak area'!E20</f>
        <v>5.7735026918962762E-2</v>
      </c>
      <c r="AN20" s="21">
        <f t="shared" si="2"/>
        <v>0.43333333333333335</v>
      </c>
      <c r="AO20" s="21">
        <f t="shared" ref="AO20:AP20" si="30">D20</f>
        <v>-25.2</v>
      </c>
      <c r="AP20" s="23">
        <f t="shared" si="30"/>
        <v>0.62449979983983928</v>
      </c>
      <c r="AQ20" s="6">
        <f t="shared" si="4"/>
        <v>2.5641025641025683</v>
      </c>
      <c r="AR20" s="15">
        <v>-22.932558140000001</v>
      </c>
      <c r="AS20" s="6">
        <f t="shared" si="26"/>
        <v>0.19047065329714608</v>
      </c>
      <c r="AT20" s="16"/>
      <c r="AU20" s="16"/>
    </row>
    <row r="21" spans="1:47" ht="12.75" customHeight="1">
      <c r="C21" s="2">
        <f t="shared" si="27"/>
        <v>300</v>
      </c>
      <c r="D21" s="21">
        <f t="shared" si="23"/>
        <v>-25.2</v>
      </c>
      <c r="E21" s="6">
        <f t="shared" si="24"/>
        <v>0.88881944173155869</v>
      </c>
      <c r="J21" s="6">
        <f>'IRMS data'!$E20</f>
        <v>-25.9</v>
      </c>
      <c r="K21" s="6">
        <f>'IRMS data'!$E27</f>
        <v>-25.5</v>
      </c>
      <c r="L21" s="6">
        <f>'IRMS data'!$E90</f>
        <v>-24.2</v>
      </c>
      <c r="AK21" s="17"/>
      <c r="AL21" s="28">
        <f>'peak area'!D21</f>
        <v>0.39999999999999997</v>
      </c>
      <c r="AM21" s="6">
        <f>'peak area'!E21</f>
        <v>0.10000000000000005</v>
      </c>
      <c r="AN21" s="21">
        <f t="shared" si="2"/>
        <v>0.39999999999999997</v>
      </c>
      <c r="AO21" s="21">
        <f t="shared" ref="AO21:AP21" si="31">D21</f>
        <v>-25.2</v>
      </c>
      <c r="AP21" s="23">
        <f t="shared" si="31"/>
        <v>0.88881944173155869</v>
      </c>
      <c r="AQ21" s="6">
        <f t="shared" si="4"/>
        <v>1.2658227848101271</v>
      </c>
      <c r="AR21" s="15">
        <v>-24.573277659999999</v>
      </c>
      <c r="AS21" s="6">
        <f t="shared" si="26"/>
        <v>0.77107819748637063</v>
      </c>
      <c r="AT21" s="16"/>
      <c r="AU21" s="16"/>
    </row>
    <row r="22" spans="1:47" ht="12.75" customHeight="1">
      <c r="C22" s="1">
        <v>340</v>
      </c>
      <c r="D22" s="21">
        <f t="shared" si="23"/>
        <v>-25.333333333333332</v>
      </c>
      <c r="E22" s="6">
        <f t="shared" si="24"/>
        <v>0.68068592855540488</v>
      </c>
      <c r="J22" s="6">
        <f>'IRMS data'!$E21</f>
        <v>-24.8</v>
      </c>
      <c r="K22" s="6">
        <f>'IRMS data'!$E28</f>
        <v>-26.1</v>
      </c>
      <c r="L22" s="6">
        <f>'IRMS data'!$E91</f>
        <v>-25.1</v>
      </c>
      <c r="AK22" s="17"/>
      <c r="AL22" s="28">
        <f>'peak area'!D22</f>
        <v>0.70000000000000007</v>
      </c>
      <c r="AM22" s="6">
        <f>'peak area'!E22</f>
        <v>0.20000000000000009</v>
      </c>
      <c r="AN22" s="21">
        <f t="shared" si="2"/>
        <v>0.70000000000000007</v>
      </c>
      <c r="AO22" s="21">
        <f t="shared" ref="AO22:AP22" si="32">D22</f>
        <v>-25.333333333333332</v>
      </c>
      <c r="AP22" s="23">
        <f t="shared" si="32"/>
        <v>0.68068592855540488</v>
      </c>
      <c r="AQ22" s="6">
        <f t="shared" si="4"/>
        <v>2.1582733812949622</v>
      </c>
      <c r="AR22" s="15">
        <v>-23.292074589999999</v>
      </c>
      <c r="AS22" s="6">
        <f t="shared" si="26"/>
        <v>0.11384363381574251</v>
      </c>
      <c r="AT22" s="16"/>
      <c r="AU22" s="16"/>
    </row>
    <row r="23" spans="1:47" ht="12.75" customHeight="1">
      <c r="C23" s="1">
        <v>390</v>
      </c>
      <c r="D23" s="21">
        <f t="shared" si="23"/>
        <v>-23.7</v>
      </c>
      <c r="E23" s="6">
        <f t="shared" si="24"/>
        <v>2.2516660498395398</v>
      </c>
      <c r="J23" s="6">
        <f>'IRMS data'!$E22</f>
        <v>-25</v>
      </c>
      <c r="K23" s="6">
        <f>'IRMS data'!$E29</f>
        <v>-21.1</v>
      </c>
      <c r="L23" s="6">
        <f>'IRMS data'!$E92</f>
        <v>-25</v>
      </c>
      <c r="AK23" s="17"/>
      <c r="AL23" s="28">
        <f>'peak area'!D23</f>
        <v>0.80000000000000016</v>
      </c>
      <c r="AM23" s="6">
        <f>'peak area'!E23</f>
        <v>1.3597399555105182E-16</v>
      </c>
      <c r="AN23" s="21">
        <f t="shared" si="2"/>
        <v>0.80000000000000016</v>
      </c>
      <c r="AO23" s="21">
        <f t="shared" ref="AO23:AP23" si="33">D23</f>
        <v>-23.7</v>
      </c>
      <c r="AP23" s="23">
        <f t="shared" si="33"/>
        <v>2.2516660498395398</v>
      </c>
      <c r="AQ23" s="6">
        <f t="shared" si="4"/>
        <v>0.19723865877712043</v>
      </c>
      <c r="AR23" s="15">
        <v>-23.431034480000001</v>
      </c>
      <c r="AS23" s="6">
        <f t="shared" si="26"/>
        <v>0.98946171363960289</v>
      </c>
      <c r="AT23" s="16"/>
      <c r="AU23" s="16"/>
    </row>
    <row r="24" spans="1:47" ht="12.75" customHeight="1">
      <c r="B24" s="1" t="s">
        <v>89</v>
      </c>
      <c r="C24" s="1">
        <v>100</v>
      </c>
      <c r="D24" s="21">
        <f t="shared" ref="D24:D30" si="34">AVERAGE(N24:P24)</f>
        <v>-19.733333333333334</v>
      </c>
      <c r="E24" s="6">
        <f t="shared" ref="E24:E30" si="35">STDEV(N24:P24)</f>
        <v>0.89628864398325059</v>
      </c>
      <c r="M24" s="6">
        <f>'IRMS data'!$E93</f>
        <v>-16.899999999999999</v>
      </c>
      <c r="N24" s="2">
        <f>'IRMS data'!$E100</f>
        <v>-20.2</v>
      </c>
      <c r="O24" s="2">
        <f>'IRMS data'!$E107</f>
        <v>-20.3</v>
      </c>
      <c r="P24" s="2">
        <f>'IRMS data'!$E114</f>
        <v>-18.7</v>
      </c>
      <c r="AK24" s="17"/>
      <c r="AL24" s="28">
        <f>'peak area'!D24</f>
        <v>0.16666666666666666</v>
      </c>
      <c r="AM24" s="6">
        <f>'peak area'!E24</f>
        <v>5.7735026918962699E-2</v>
      </c>
      <c r="AN24" s="21">
        <f t="shared" si="2"/>
        <v>0.16666666666666666</v>
      </c>
      <c r="AO24" s="21">
        <f t="shared" ref="AO24:AP24" si="36">D24</f>
        <v>-19.733333333333334</v>
      </c>
      <c r="AP24" s="23">
        <f t="shared" si="36"/>
        <v>0.89628864398325059</v>
      </c>
      <c r="AQ24" s="6">
        <f t="shared" si="4"/>
        <v>1.2448132780082974</v>
      </c>
      <c r="AR24" s="15"/>
      <c r="AS24" s="6"/>
      <c r="AT24" s="16"/>
      <c r="AU24" s="16"/>
    </row>
    <row r="25" spans="1:47" ht="12.75" customHeight="1">
      <c r="C25" s="2">
        <f t="shared" ref="C25:C28" si="37">C24+50</f>
        <v>150</v>
      </c>
      <c r="D25" s="21">
        <f t="shared" si="34"/>
        <v>-21.099999999999998</v>
      </c>
      <c r="E25" s="6">
        <f t="shared" si="35"/>
        <v>9.9999999999999645E-2</v>
      </c>
      <c r="M25" s="6">
        <f>'IRMS data'!$E94</f>
        <v>-19.600000000000001</v>
      </c>
      <c r="N25" s="2">
        <f>'IRMS data'!$E101</f>
        <v>-21.2</v>
      </c>
      <c r="O25" s="2">
        <f>'IRMS data'!$E108</f>
        <v>-21.1</v>
      </c>
      <c r="P25" s="2">
        <f>'IRMS data'!$E115</f>
        <v>-21</v>
      </c>
      <c r="AK25" s="17"/>
      <c r="AL25" s="28">
        <f>'peak area'!D25</f>
        <v>0.20000000000000004</v>
      </c>
      <c r="AM25" s="6">
        <f>'peak area'!E25</f>
        <v>3.3993498887762956E-17</v>
      </c>
      <c r="AN25" s="21">
        <f t="shared" si="2"/>
        <v>0.20000000000000004</v>
      </c>
      <c r="AO25" s="21">
        <f t="shared" ref="AO25:AP25" si="38">D25</f>
        <v>-21.099999999999998</v>
      </c>
      <c r="AP25" s="23">
        <f t="shared" si="38"/>
        <v>9.9999999999999645E-2</v>
      </c>
      <c r="AQ25" s="6">
        <f t="shared" si="4"/>
        <v>100.00000000000071</v>
      </c>
      <c r="AR25" s="15"/>
      <c r="AS25" s="6"/>
      <c r="AT25" s="16"/>
      <c r="AU25" s="16"/>
    </row>
    <row r="26" spans="1:47" ht="12.75" customHeight="1">
      <c r="C26" s="2">
        <f t="shared" si="37"/>
        <v>200</v>
      </c>
      <c r="D26" s="21">
        <f t="shared" si="34"/>
        <v>-22.166666666666668</v>
      </c>
      <c r="E26" s="6">
        <f t="shared" si="35"/>
        <v>0.30550504633038983</v>
      </c>
      <c r="M26" s="6">
        <f>'IRMS data'!$E95</f>
        <v>-22.6</v>
      </c>
      <c r="N26" s="2">
        <f>'IRMS data'!$E102</f>
        <v>-22.5</v>
      </c>
      <c r="O26" s="2">
        <f>'IRMS data'!$E109</f>
        <v>-22.1</v>
      </c>
      <c r="P26" s="2">
        <f>'IRMS data'!$E116</f>
        <v>-21.9</v>
      </c>
      <c r="AK26" s="17"/>
      <c r="AL26" s="28">
        <f>'peak area'!D26</f>
        <v>0.20000000000000004</v>
      </c>
      <c r="AM26" s="6">
        <f>'peak area'!E26</f>
        <v>3.3993498887762956E-17</v>
      </c>
      <c r="AN26" s="21">
        <f t="shared" si="2"/>
        <v>0.20000000000000004</v>
      </c>
      <c r="AO26" s="21">
        <f t="shared" ref="AO26:AP26" si="39">D26</f>
        <v>-22.166666666666668</v>
      </c>
      <c r="AP26" s="23">
        <f t="shared" si="39"/>
        <v>0.30550504633038983</v>
      </c>
      <c r="AQ26" s="6">
        <f t="shared" si="4"/>
        <v>10.71428571428568</v>
      </c>
      <c r="AR26" s="15"/>
      <c r="AS26" s="6"/>
      <c r="AT26" s="16"/>
      <c r="AU26" s="16"/>
    </row>
    <row r="27" spans="1:47" ht="12.75" customHeight="1">
      <c r="C27" s="2">
        <f t="shared" si="37"/>
        <v>250</v>
      </c>
      <c r="D27" s="21">
        <f t="shared" si="34"/>
        <v>-22.7</v>
      </c>
      <c r="E27" s="6">
        <f t="shared" si="35"/>
        <v>0.19999999999999929</v>
      </c>
      <c r="M27" s="6">
        <f>'IRMS data'!$E96</f>
        <v>-23.9</v>
      </c>
      <c r="N27" s="2">
        <f>'IRMS data'!$E103</f>
        <v>-22.7</v>
      </c>
      <c r="O27" s="2">
        <f>'IRMS data'!$E110</f>
        <v>-22.9</v>
      </c>
      <c r="P27" s="2">
        <f>'IRMS data'!$E117</f>
        <v>-22.5</v>
      </c>
      <c r="AK27" s="17"/>
      <c r="AL27" s="28">
        <f>'peak area'!D27</f>
        <v>0.3</v>
      </c>
      <c r="AM27" s="6">
        <f>'peak area'!E27</f>
        <v>0</v>
      </c>
      <c r="AN27" s="21">
        <f t="shared" si="2"/>
        <v>0.3</v>
      </c>
      <c r="AO27" s="21">
        <f t="shared" ref="AO27:AP27" si="40">D27</f>
        <v>-22.7</v>
      </c>
      <c r="AP27" s="23">
        <f t="shared" si="40"/>
        <v>0.19999999999999929</v>
      </c>
      <c r="AQ27" s="6">
        <f t="shared" si="4"/>
        <v>25.000000000000178</v>
      </c>
      <c r="AR27" s="15"/>
      <c r="AS27" s="6"/>
      <c r="AT27" s="16"/>
      <c r="AU27" s="16"/>
    </row>
    <row r="28" spans="1:47" ht="12.75" customHeight="1">
      <c r="C28" s="2">
        <f t="shared" si="37"/>
        <v>300</v>
      </c>
      <c r="D28" s="21">
        <f t="shared" si="34"/>
        <v>-22.666666666666668</v>
      </c>
      <c r="E28" s="6">
        <f t="shared" si="35"/>
        <v>1.5502687938977968</v>
      </c>
      <c r="M28" s="6">
        <f>'IRMS data'!$E97</f>
        <v>-23.5</v>
      </c>
      <c r="N28" s="2">
        <f>'IRMS data'!$E104</f>
        <v>-22.7</v>
      </c>
      <c r="O28" s="2">
        <f>'IRMS data'!$E111</f>
        <v>-24.2</v>
      </c>
      <c r="P28" s="2">
        <f>'IRMS data'!$E118</f>
        <v>-21.1</v>
      </c>
      <c r="AK28" s="17"/>
      <c r="AL28" s="28">
        <f>'peak area'!D28</f>
        <v>0.26666666666666666</v>
      </c>
      <c r="AM28" s="6">
        <f>'peak area'!E28</f>
        <v>5.7735026918962401E-2</v>
      </c>
      <c r="AN28" s="21">
        <f t="shared" si="2"/>
        <v>0.26666666666666666</v>
      </c>
      <c r="AO28" s="21">
        <f t="shared" ref="AO28:AP28" si="41">D28</f>
        <v>-22.666666666666668</v>
      </c>
      <c r="AP28" s="23">
        <f t="shared" si="41"/>
        <v>1.5502687938977968</v>
      </c>
      <c r="AQ28" s="6">
        <f t="shared" si="4"/>
        <v>0.4160887656033293</v>
      </c>
      <c r="AR28" s="15"/>
      <c r="AS28" s="6"/>
      <c r="AT28" s="16"/>
      <c r="AU28" s="16"/>
    </row>
    <row r="29" spans="1:47" ht="12.75" customHeight="1">
      <c r="C29" s="1">
        <v>340</v>
      </c>
      <c r="D29" s="21">
        <f t="shared" si="34"/>
        <v>-23.233333333333334</v>
      </c>
      <c r="E29" s="6">
        <f t="shared" si="35"/>
        <v>0.11547005383792475</v>
      </c>
      <c r="M29" s="6">
        <f>'IRMS data'!$E98</f>
        <v>-22.7</v>
      </c>
      <c r="N29" s="2">
        <f>'IRMS data'!$E105</f>
        <v>-23.3</v>
      </c>
      <c r="O29" s="2">
        <f>'IRMS data'!$E112</f>
        <v>-23.3</v>
      </c>
      <c r="P29" s="2">
        <f>'IRMS data'!$E119</f>
        <v>-23.1</v>
      </c>
      <c r="AK29" s="17"/>
      <c r="AL29" s="28">
        <f>'peak area'!D29</f>
        <v>0.33333333333333331</v>
      </c>
      <c r="AM29" s="6">
        <f>'peak area'!E29</f>
        <v>5.7735026918962762E-2</v>
      </c>
      <c r="AN29" s="21">
        <f t="shared" si="2"/>
        <v>0.33333333333333331</v>
      </c>
      <c r="AO29" s="21">
        <f t="shared" ref="AO29:AP29" si="42">D29</f>
        <v>-23.233333333333334</v>
      </c>
      <c r="AP29" s="23">
        <f t="shared" si="42"/>
        <v>0.11547005383792475</v>
      </c>
      <c r="AQ29" s="6">
        <f t="shared" si="4"/>
        <v>75.000000000000526</v>
      </c>
      <c r="AR29" s="15"/>
      <c r="AS29" s="6"/>
      <c r="AT29" s="16"/>
      <c r="AU29" s="16"/>
    </row>
    <row r="30" spans="1:47" ht="12.75" customHeight="1">
      <c r="C30" s="1">
        <v>390</v>
      </c>
      <c r="D30" s="21">
        <f t="shared" si="34"/>
        <v>-23.366666666666664</v>
      </c>
      <c r="E30" s="6">
        <f t="shared" si="35"/>
        <v>1.1015141094572196</v>
      </c>
      <c r="M30" s="6">
        <f>'IRMS data'!$E99</f>
        <v>-22.3</v>
      </c>
      <c r="N30" s="2">
        <f>'IRMS data'!$E106</f>
        <v>-24.1</v>
      </c>
      <c r="O30" s="2">
        <f>'IRMS data'!$E113</f>
        <v>-22.1</v>
      </c>
      <c r="P30" s="2">
        <f>'IRMS data'!$E120</f>
        <v>-23.9</v>
      </c>
      <c r="AK30" s="17"/>
      <c r="AL30" s="28">
        <f>'peak area'!D30</f>
        <v>0.56666666666666665</v>
      </c>
      <c r="AM30" s="6">
        <f>'peak area'!E30</f>
        <v>0.25166114784235849</v>
      </c>
      <c r="AN30" s="21">
        <f t="shared" si="2"/>
        <v>0.56666666666666665</v>
      </c>
      <c r="AO30" s="21">
        <f t="shared" ref="AO30:AP30" si="43">D30</f>
        <v>-23.366666666666664</v>
      </c>
      <c r="AP30" s="23">
        <f t="shared" si="43"/>
        <v>1.1015141094572196</v>
      </c>
      <c r="AQ30" s="6">
        <f t="shared" si="4"/>
        <v>0.82417582417582536</v>
      </c>
      <c r="AR30" s="15"/>
      <c r="AS30" s="6"/>
      <c r="AT30" s="16"/>
      <c r="AU30" s="16"/>
    </row>
    <row r="31" spans="1:47" ht="12.75" customHeight="1">
      <c r="A31" s="2" t="str">
        <f>CONCATENATE(overview!$C14," ",overview!$D14)</f>
        <v>blank filters (pre-heated) --</v>
      </c>
      <c r="B31" s="1" t="s">
        <v>95</v>
      </c>
      <c r="C31" s="1">
        <v>100</v>
      </c>
      <c r="D31" s="21">
        <f t="shared" ref="D31:D37" si="44">AVERAGE(Q31:S31)</f>
        <v>-24.400000000000002</v>
      </c>
      <c r="E31" s="6">
        <f t="shared" ref="E31:E37" si="45">STDEV(Q31:S31)</f>
        <v>1.2767145334803705</v>
      </c>
      <c r="Q31" s="6">
        <f>'IRMS data'!$E30</f>
        <v>-23.3</v>
      </c>
      <c r="R31" s="6">
        <f>'IRMS data'!$E37</f>
        <v>-24.1</v>
      </c>
      <c r="S31" s="6">
        <f>'IRMS data'!$E121</f>
        <v>-25.8</v>
      </c>
      <c r="AK31" s="17"/>
      <c r="AL31" s="28">
        <f>'peak area'!D31</f>
        <v>0.33333333333333331</v>
      </c>
      <c r="AM31" s="6">
        <f>'peak area'!E31</f>
        <v>0.15275252316519469</v>
      </c>
      <c r="AN31" s="21">
        <f t="shared" si="2"/>
        <v>0.33333333333333331</v>
      </c>
      <c r="AO31" s="21">
        <f t="shared" ref="AO31:AP31" si="46">D31</f>
        <v>-24.400000000000002</v>
      </c>
      <c r="AP31" s="23">
        <f t="shared" si="46"/>
        <v>1.2767145334803705</v>
      </c>
      <c r="AQ31" s="6">
        <f t="shared" si="4"/>
        <v>0.61349693251533743</v>
      </c>
      <c r="AR31" s="15">
        <v>-20.433546960000001</v>
      </c>
      <c r="AS31" s="6">
        <f t="shared" ref="AS31:AS37" si="47">SQRT( 1/SUM(AQ31,AQ38,AQ45) )</f>
        <v>0.1391519456180626</v>
      </c>
      <c r="AT31" s="16"/>
      <c r="AU31" s="16"/>
    </row>
    <row r="32" spans="1:47" ht="12.75" customHeight="1">
      <c r="C32" s="2">
        <f t="shared" ref="C32:C35" si="48">C31+50</f>
        <v>150</v>
      </c>
      <c r="D32" s="21">
        <f t="shared" si="44"/>
        <v>-24.466666666666669</v>
      </c>
      <c r="E32" s="6">
        <f t="shared" si="45"/>
        <v>0.80829037686547511</v>
      </c>
      <c r="Q32" s="6">
        <f>'IRMS data'!$E31</f>
        <v>-24.6</v>
      </c>
      <c r="R32" s="6">
        <f>'IRMS data'!$E38</f>
        <v>-23.6</v>
      </c>
      <c r="S32" s="6">
        <f>'IRMS data'!$E122</f>
        <v>-25.2</v>
      </c>
      <c r="AK32" s="17"/>
      <c r="AL32" s="28">
        <f>'peak area'!D32</f>
        <v>0.23333333333333331</v>
      </c>
      <c r="AM32" s="6">
        <f>'peak area'!E32</f>
        <v>5.7735026918962762E-2</v>
      </c>
      <c r="AN32" s="21">
        <f t="shared" si="2"/>
        <v>0.23333333333333331</v>
      </c>
      <c r="AO32" s="21">
        <f t="shared" ref="AO32:AP32" si="49">D32</f>
        <v>-24.466666666666669</v>
      </c>
      <c r="AP32" s="23">
        <f t="shared" si="49"/>
        <v>0.80829037686547511</v>
      </c>
      <c r="AQ32" s="6">
        <f t="shared" si="4"/>
        <v>1.5306122448979629</v>
      </c>
      <c r="AR32" s="15">
        <v>-22.806628459999999</v>
      </c>
      <c r="AS32" s="6">
        <f t="shared" si="47"/>
        <v>0.43038029613738404</v>
      </c>
      <c r="AT32" s="16"/>
      <c r="AU32" s="16"/>
    </row>
    <row r="33" spans="2:47" ht="12.75" customHeight="1">
      <c r="C33" s="2">
        <f t="shared" si="48"/>
        <v>200</v>
      </c>
      <c r="D33" s="21">
        <f t="shared" si="44"/>
        <v>-23.466666666666669</v>
      </c>
      <c r="E33" s="6">
        <f t="shared" si="45"/>
        <v>0.90737717258774697</v>
      </c>
      <c r="Q33" s="6">
        <f>'IRMS data'!$E32</f>
        <v>-24.3</v>
      </c>
      <c r="R33" s="6">
        <f>'IRMS data'!$E39</f>
        <v>-22.5</v>
      </c>
      <c r="S33" s="6">
        <f>'IRMS data'!$E123</f>
        <v>-23.6</v>
      </c>
      <c r="AK33" s="17"/>
      <c r="AL33" s="28">
        <f>'peak area'!D33</f>
        <v>0.20000000000000004</v>
      </c>
      <c r="AM33" s="6">
        <f>'peak area'!E33</f>
        <v>3.3993498887762956E-17</v>
      </c>
      <c r="AN33" s="21">
        <f t="shared" si="2"/>
        <v>0.20000000000000004</v>
      </c>
      <c r="AO33" s="21">
        <f t="shared" ref="AO33:AP33" si="50">D33</f>
        <v>-23.466666666666669</v>
      </c>
      <c r="AP33" s="23">
        <f t="shared" si="50"/>
        <v>0.90737717258774697</v>
      </c>
      <c r="AQ33" s="6">
        <f t="shared" si="4"/>
        <v>1.2145748987854244</v>
      </c>
      <c r="AR33" s="15">
        <v>-22.679648749999998</v>
      </c>
      <c r="AS33" s="6">
        <f t="shared" si="47"/>
        <v>0.47278104850807617</v>
      </c>
      <c r="AT33" s="16"/>
      <c r="AU33" s="16"/>
    </row>
    <row r="34" spans="2:47" ht="12.75" customHeight="1">
      <c r="C34" s="2">
        <f t="shared" si="48"/>
        <v>250</v>
      </c>
      <c r="D34" s="21">
        <f t="shared" si="44"/>
        <v>-25.633333333333336</v>
      </c>
      <c r="E34" s="6">
        <f t="shared" si="45"/>
        <v>2.136195996001617</v>
      </c>
      <c r="Q34" s="6">
        <f>'IRMS data'!$E33</f>
        <v>-28.1</v>
      </c>
      <c r="R34" s="6">
        <f>'IRMS data'!$E40</f>
        <v>-24.4</v>
      </c>
      <c r="S34" s="6">
        <f>'IRMS data'!$E124</f>
        <v>-24.4</v>
      </c>
      <c r="AK34" s="17"/>
      <c r="AL34" s="28">
        <f>'peak area'!D34</f>
        <v>0.30000000000000004</v>
      </c>
      <c r="AM34" s="6">
        <f>'peak area'!E34</f>
        <v>9.9999999999999908E-2</v>
      </c>
      <c r="AN34" s="21">
        <f t="shared" si="2"/>
        <v>0.30000000000000004</v>
      </c>
      <c r="AO34" s="21">
        <f t="shared" ref="AO34:AP34" si="51">D34</f>
        <v>-25.633333333333336</v>
      </c>
      <c r="AP34" s="23">
        <f t="shared" si="51"/>
        <v>2.136195996001617</v>
      </c>
      <c r="AQ34" s="6">
        <f t="shared" si="4"/>
        <v>0.21913805697589447</v>
      </c>
      <c r="AR34" s="15">
        <v>-23.984219809999999</v>
      </c>
      <c r="AS34" s="6">
        <f t="shared" si="47"/>
        <v>0.78631895637593141</v>
      </c>
      <c r="AT34" s="16"/>
      <c r="AU34" s="16"/>
    </row>
    <row r="35" spans="2:47" ht="12.75" customHeight="1">
      <c r="C35" s="2">
        <f t="shared" si="48"/>
        <v>300</v>
      </c>
      <c r="D35" s="21">
        <f t="shared" si="44"/>
        <v>-26.466666666666669</v>
      </c>
      <c r="E35" s="6">
        <f t="shared" si="45"/>
        <v>2.0033305601755624</v>
      </c>
      <c r="Q35" s="6">
        <f>'IRMS data'!$E34</f>
        <v>-28.4</v>
      </c>
      <c r="R35" s="6">
        <f>'IRMS data'!$E41</f>
        <v>-26.6</v>
      </c>
      <c r="S35" s="6">
        <f>'IRMS data'!$E125</f>
        <v>-24.4</v>
      </c>
      <c r="AK35" s="17"/>
      <c r="AL35" s="28">
        <f>'peak area'!D35</f>
        <v>0.3666666666666667</v>
      </c>
      <c r="AM35" s="6">
        <f>'peak area'!E35</f>
        <v>0.11547005383792493</v>
      </c>
      <c r="AN35" s="21">
        <f t="shared" si="2"/>
        <v>0.3666666666666667</v>
      </c>
      <c r="AO35" s="21">
        <f t="shared" ref="AO35:AP35" si="52">D35</f>
        <v>-26.466666666666669</v>
      </c>
      <c r="AP35" s="23">
        <f t="shared" si="52"/>
        <v>2.0033305601755624</v>
      </c>
      <c r="AQ35" s="6">
        <f t="shared" si="4"/>
        <v>0.24916943521594687</v>
      </c>
      <c r="AR35" s="15">
        <v>-24.022297049999999</v>
      </c>
      <c r="AS35" s="6">
        <f t="shared" si="47"/>
        <v>0.14016613510348319</v>
      </c>
      <c r="AT35" s="16"/>
      <c r="AU35" s="16"/>
    </row>
    <row r="36" spans="2:47" ht="12.75" customHeight="1">
      <c r="C36" s="1">
        <v>340</v>
      </c>
      <c r="D36" s="21">
        <f t="shared" si="44"/>
        <v>-26.400000000000002</v>
      </c>
      <c r="E36" s="6">
        <f t="shared" si="45"/>
        <v>2.0420577856662132</v>
      </c>
      <c r="Q36" s="6">
        <f>'IRMS data'!$E35</f>
        <v>-28.7</v>
      </c>
      <c r="R36" s="6">
        <f>'IRMS data'!$E42</f>
        <v>-25.7</v>
      </c>
      <c r="S36" s="6">
        <f>'IRMS data'!$E126</f>
        <v>-24.8</v>
      </c>
      <c r="AK36" s="17"/>
      <c r="AL36" s="28">
        <f>'peak area'!D36</f>
        <v>0.46666666666666662</v>
      </c>
      <c r="AM36" s="6">
        <f>'peak area'!E36</f>
        <v>5.7735026918963241E-2</v>
      </c>
      <c r="AN36" s="21">
        <f t="shared" si="2"/>
        <v>0.46666666666666662</v>
      </c>
      <c r="AO36" s="21">
        <f t="shared" ref="AO36:AP36" si="53">D36</f>
        <v>-26.400000000000002</v>
      </c>
      <c r="AP36" s="23">
        <f t="shared" si="53"/>
        <v>2.0420577856662132</v>
      </c>
      <c r="AQ36" s="6">
        <f t="shared" si="4"/>
        <v>0.23980815347721834</v>
      </c>
      <c r="AR36" s="15">
        <v>-24.00527319</v>
      </c>
      <c r="AS36" s="6">
        <f t="shared" si="47"/>
        <v>0.38988472214804093</v>
      </c>
      <c r="AT36" s="16"/>
      <c r="AU36" s="16"/>
    </row>
    <row r="37" spans="2:47" ht="12.75" customHeight="1">
      <c r="C37" s="1">
        <v>390</v>
      </c>
      <c r="D37" s="21">
        <f t="shared" si="44"/>
        <v>-27.100000000000005</v>
      </c>
      <c r="E37" s="6">
        <f t="shared" si="45"/>
        <v>2.4879710609249468</v>
      </c>
      <c r="Q37" s="6">
        <f>'IRMS data'!$E36</f>
        <v>-29.8</v>
      </c>
      <c r="R37" s="6">
        <f>'IRMS data'!$E43</f>
        <v>-26.6</v>
      </c>
      <c r="S37" s="6">
        <f>'IRMS data'!$E127</f>
        <v>-24.9</v>
      </c>
      <c r="AK37" s="17"/>
      <c r="AL37" s="28">
        <f>'peak area'!D37</f>
        <v>0.70000000000000007</v>
      </c>
      <c r="AM37" s="6">
        <f>'peak area'!E37</f>
        <v>0.1000000000000006</v>
      </c>
      <c r="AN37" s="21">
        <f t="shared" si="2"/>
        <v>0.70000000000000007</v>
      </c>
      <c r="AO37" s="21">
        <f t="shared" ref="AO37:AP37" si="54">D37</f>
        <v>-27.100000000000005</v>
      </c>
      <c r="AP37" s="23">
        <f t="shared" si="54"/>
        <v>2.4879710609249468</v>
      </c>
      <c r="AQ37" s="6">
        <f t="shared" si="4"/>
        <v>0.16155088852988678</v>
      </c>
      <c r="AR37" s="15">
        <v>-24.017865560000001</v>
      </c>
      <c r="AS37" s="6">
        <f t="shared" si="47"/>
        <v>0.92467995982108897</v>
      </c>
      <c r="AT37" s="16"/>
      <c r="AU37" s="16"/>
    </row>
    <row r="38" spans="2:47" ht="12.75" customHeight="1">
      <c r="B38" s="1" t="s">
        <v>102</v>
      </c>
      <c r="C38" s="1">
        <v>100</v>
      </c>
      <c r="D38" s="21">
        <f t="shared" ref="D38:D44" si="55">AVERAGE(T38:U38)</f>
        <v>-20.399999999999999</v>
      </c>
      <c r="E38" s="6">
        <f t="shared" ref="E38:E44" si="56">STDEV(T38:U38)</f>
        <v>0.141421356237309</v>
      </c>
      <c r="T38" s="6">
        <f>'IRMS data'!$E44</f>
        <v>-20.3</v>
      </c>
      <c r="U38" s="6">
        <f>'IRMS data'!$E51</f>
        <v>-20.5</v>
      </c>
      <c r="AK38" s="17"/>
      <c r="AL38" s="28">
        <f>'peak area'!D38</f>
        <v>0.1</v>
      </c>
      <c r="AM38" s="6">
        <f>'peak area'!E38</f>
        <v>0</v>
      </c>
      <c r="AN38" s="21">
        <f t="shared" si="2"/>
        <v>0.1</v>
      </c>
      <c r="AO38" s="21">
        <f t="shared" ref="AO38:AP38" si="57">D38</f>
        <v>-20.399999999999999</v>
      </c>
      <c r="AP38" s="23">
        <f t="shared" si="57"/>
        <v>0.141421356237309</v>
      </c>
      <c r="AQ38" s="6">
        <f t="shared" si="4"/>
        <v>50.000000000000355</v>
      </c>
      <c r="AR38" s="15"/>
      <c r="AS38" s="6"/>
      <c r="AT38" s="16"/>
      <c r="AU38" s="16"/>
    </row>
    <row r="39" spans="2:47" ht="12.75" customHeight="1">
      <c r="C39" s="2">
        <f t="shared" ref="C39:C42" si="58">C38+50</f>
        <v>150</v>
      </c>
      <c r="D39" s="21">
        <f t="shared" si="55"/>
        <v>-21.9</v>
      </c>
      <c r="E39" s="6">
        <f t="shared" si="56"/>
        <v>0.56568542494923857</v>
      </c>
      <c r="T39" s="6">
        <f>'IRMS data'!$E45</f>
        <v>-21.5</v>
      </c>
      <c r="U39" s="6">
        <f>'IRMS data'!$E52</f>
        <v>-22.3</v>
      </c>
      <c r="AK39" s="17"/>
      <c r="AL39" s="28">
        <f>'peak area'!D39</f>
        <v>0.15000000000000002</v>
      </c>
      <c r="AM39" s="6">
        <f>'peak area'!E39</f>
        <v>7.0710678118654738E-2</v>
      </c>
      <c r="AN39" s="21">
        <f t="shared" si="2"/>
        <v>0.15000000000000002</v>
      </c>
      <c r="AO39" s="21">
        <f t="shared" ref="AO39:AP39" si="59">D39</f>
        <v>-21.9</v>
      </c>
      <c r="AP39" s="23">
        <f t="shared" si="59"/>
        <v>0.56568542494923857</v>
      </c>
      <c r="AQ39" s="6">
        <f t="shared" si="4"/>
        <v>3.1249999999999938</v>
      </c>
      <c r="AR39" s="15"/>
      <c r="AS39" s="6"/>
      <c r="AT39" s="16"/>
      <c r="AU39" s="16"/>
    </row>
    <row r="40" spans="2:47" ht="12.75" customHeight="1">
      <c r="C40" s="2">
        <f t="shared" si="58"/>
        <v>200</v>
      </c>
      <c r="D40" s="21">
        <f t="shared" si="55"/>
        <v>-22.35</v>
      </c>
      <c r="E40" s="6">
        <f t="shared" si="56"/>
        <v>0.63639610306789429</v>
      </c>
      <c r="T40" s="6">
        <f>'IRMS data'!$E46</f>
        <v>-22.8</v>
      </c>
      <c r="U40" s="6">
        <f>'IRMS data'!$E53</f>
        <v>-21.9</v>
      </c>
      <c r="AK40" s="17"/>
      <c r="AL40" s="28">
        <f>'peak area'!D40</f>
        <v>0.2</v>
      </c>
      <c r="AM40" s="6">
        <f>'peak area'!E40</f>
        <v>0</v>
      </c>
      <c r="AN40" s="21">
        <f t="shared" si="2"/>
        <v>0.2</v>
      </c>
      <c r="AO40" s="21">
        <f t="shared" ref="AO40:AP40" si="60">D40</f>
        <v>-22.35</v>
      </c>
      <c r="AP40" s="23">
        <f t="shared" si="60"/>
        <v>0.63639610306789429</v>
      </c>
      <c r="AQ40" s="6">
        <f t="shared" si="4"/>
        <v>2.4691358024691241</v>
      </c>
      <c r="AR40" s="15"/>
      <c r="AS40" s="6"/>
      <c r="AT40" s="16"/>
      <c r="AU40" s="16"/>
    </row>
    <row r="41" spans="2:47" ht="12.75" customHeight="1">
      <c r="C41" s="2">
        <f t="shared" si="58"/>
        <v>250</v>
      </c>
      <c r="D41" s="21">
        <f t="shared" si="55"/>
        <v>-23.65</v>
      </c>
      <c r="E41" s="6">
        <f t="shared" si="56"/>
        <v>1.2020815280171302</v>
      </c>
      <c r="T41" s="6">
        <f>'IRMS data'!$E47</f>
        <v>-24.5</v>
      </c>
      <c r="U41" s="6">
        <f>'IRMS data'!$E54</f>
        <v>-22.8</v>
      </c>
      <c r="AK41" s="17"/>
      <c r="AL41" s="28">
        <f>'peak area'!D41</f>
        <v>0.30000000000000004</v>
      </c>
      <c r="AM41" s="6">
        <f>'peak area'!E41</f>
        <v>0.14142135623730948</v>
      </c>
      <c r="AN41" s="21">
        <f t="shared" si="2"/>
        <v>0.30000000000000004</v>
      </c>
      <c r="AO41" s="21">
        <f t="shared" ref="AO41:AP41" si="61">D41</f>
        <v>-23.65</v>
      </c>
      <c r="AP41" s="23">
        <f t="shared" si="61"/>
        <v>1.2020815280171302</v>
      </c>
      <c r="AQ41" s="6">
        <f t="shared" si="4"/>
        <v>0.6920415224913502</v>
      </c>
      <c r="AR41" s="15"/>
      <c r="AS41" s="6"/>
      <c r="AT41" s="16"/>
      <c r="AU41" s="16"/>
    </row>
    <row r="42" spans="2:47" ht="12.75" customHeight="1">
      <c r="C42" s="2">
        <f t="shared" si="58"/>
        <v>300</v>
      </c>
      <c r="D42" s="21">
        <f t="shared" si="55"/>
        <v>-24</v>
      </c>
      <c r="E42" s="6">
        <f t="shared" si="56"/>
        <v>0.14142135623731153</v>
      </c>
      <c r="T42" s="6">
        <f>'IRMS data'!$E48</f>
        <v>-23.9</v>
      </c>
      <c r="U42" s="6">
        <f>'IRMS data'!$E55</f>
        <v>-24.1</v>
      </c>
      <c r="AK42" s="17"/>
      <c r="AL42" s="28">
        <f>'peak area'!D42</f>
        <v>0.25</v>
      </c>
      <c r="AM42" s="6">
        <f>'peak area'!E42</f>
        <v>7.0710678118654779E-2</v>
      </c>
      <c r="AN42" s="21">
        <f t="shared" si="2"/>
        <v>0.25</v>
      </c>
      <c r="AO42" s="21">
        <f t="shared" ref="AO42:AP42" si="62">D42</f>
        <v>-24</v>
      </c>
      <c r="AP42" s="23">
        <f t="shared" si="62"/>
        <v>0.14142135623731153</v>
      </c>
      <c r="AQ42" s="6">
        <f t="shared" si="4"/>
        <v>49.999999999998565</v>
      </c>
      <c r="AR42" s="15"/>
      <c r="AS42" s="6"/>
      <c r="AT42" s="16"/>
      <c r="AU42" s="16"/>
    </row>
    <row r="43" spans="2:47" ht="12.75" customHeight="1">
      <c r="C43" s="1">
        <v>340</v>
      </c>
      <c r="D43" s="21">
        <f t="shared" si="55"/>
        <v>-24.1</v>
      </c>
      <c r="E43" s="6">
        <f t="shared" si="56"/>
        <v>0.42426406871192701</v>
      </c>
      <c r="T43" s="6">
        <f>'IRMS data'!$E49</f>
        <v>-23.8</v>
      </c>
      <c r="U43" s="6">
        <f>'IRMS data'!$E56</f>
        <v>-24.4</v>
      </c>
      <c r="AK43" s="17"/>
      <c r="AL43" s="28">
        <f>'peak area'!D43</f>
        <v>0.35</v>
      </c>
      <c r="AM43" s="6">
        <f>'peak area'!E43</f>
        <v>7.0710678118654974E-2</v>
      </c>
      <c r="AN43" s="21">
        <f t="shared" si="2"/>
        <v>0.35</v>
      </c>
      <c r="AO43" s="21">
        <f t="shared" ref="AO43:AP43" si="63">D43</f>
        <v>-24.1</v>
      </c>
      <c r="AP43" s="23">
        <f t="shared" si="63"/>
        <v>0.42426406871192701</v>
      </c>
      <c r="AQ43" s="6">
        <f t="shared" si="4"/>
        <v>5.5555555555555953</v>
      </c>
      <c r="AR43" s="15"/>
      <c r="AS43" s="6"/>
      <c r="AT43" s="16"/>
      <c r="AU43" s="16"/>
    </row>
    <row r="44" spans="2:47" ht="12.75" customHeight="1">
      <c r="C44" s="1">
        <v>390</v>
      </c>
      <c r="D44" s="21">
        <f t="shared" si="55"/>
        <v>-23.1</v>
      </c>
      <c r="E44" s="6">
        <f t="shared" si="56"/>
        <v>1.8384776310850222</v>
      </c>
      <c r="T44" s="6">
        <f>'IRMS data'!$E50</f>
        <v>-21.8</v>
      </c>
      <c r="U44" s="6">
        <f>'IRMS data'!$E57</f>
        <v>-24.4</v>
      </c>
      <c r="AK44" s="17"/>
      <c r="AL44" s="28">
        <f>'peak area'!D44</f>
        <v>0.65</v>
      </c>
      <c r="AM44" s="6">
        <f>'peak area'!E44</f>
        <v>0.35355339059327379</v>
      </c>
      <c r="AN44" s="21">
        <f t="shared" si="2"/>
        <v>0.65</v>
      </c>
      <c r="AO44" s="21">
        <f t="shared" ref="AO44:AP44" si="64">D44</f>
        <v>-23.1</v>
      </c>
      <c r="AP44" s="23">
        <f t="shared" si="64"/>
        <v>1.8384776310850222</v>
      </c>
      <c r="AQ44" s="6">
        <f t="shared" si="4"/>
        <v>0.29585798816568093</v>
      </c>
      <c r="AR44" s="15"/>
      <c r="AS44" s="6"/>
      <c r="AT44" s="16"/>
      <c r="AU44" s="16"/>
    </row>
    <row r="45" spans="2:47" ht="12.75" customHeight="1">
      <c r="B45" s="1" t="s">
        <v>106</v>
      </c>
      <c r="C45" s="1">
        <v>100</v>
      </c>
      <c r="D45" s="15">
        <f t="shared" ref="D45:D51" si="65">V45</f>
        <v>-19.7</v>
      </c>
      <c r="E45" s="6">
        <f t="shared" ref="E45:E51" si="66">ABS(V45/100*5)</f>
        <v>0.98499999999999988</v>
      </c>
      <c r="V45" s="6">
        <f>'IRMS data'!$E128</f>
        <v>-19.7</v>
      </c>
      <c r="AK45" s="17"/>
      <c r="AL45" s="28">
        <f>'peak area'!D45</f>
        <v>0.1</v>
      </c>
      <c r="AM45" s="6">
        <f>'peak area'!E45</f>
        <v>5.0000000000000001E-3</v>
      </c>
      <c r="AN45" s="21">
        <f t="shared" si="2"/>
        <v>0.1</v>
      </c>
      <c r="AO45" s="21">
        <f t="shared" ref="AO45:AP45" si="67">D45</f>
        <v>-19.7</v>
      </c>
      <c r="AP45" s="23">
        <f t="shared" si="67"/>
        <v>0.98499999999999988</v>
      </c>
      <c r="AQ45" s="6">
        <f t="shared" si="4"/>
        <v>1.0306887577623749</v>
      </c>
      <c r="AR45" s="15"/>
      <c r="AS45" s="6"/>
      <c r="AT45" s="16"/>
      <c r="AU45" s="16"/>
    </row>
    <row r="46" spans="2:47" ht="12.75" customHeight="1">
      <c r="C46" s="2">
        <f t="shared" ref="C46:C49" si="68">C45+50</f>
        <v>150</v>
      </c>
      <c r="D46" s="15">
        <f t="shared" si="65"/>
        <v>-23.2</v>
      </c>
      <c r="E46" s="6">
        <f t="shared" si="66"/>
        <v>1.1599999999999999</v>
      </c>
      <c r="V46" s="6">
        <f>'IRMS data'!$E129</f>
        <v>-23.2</v>
      </c>
      <c r="AK46" s="17"/>
      <c r="AL46" s="28">
        <f>'peak area'!D46</f>
        <v>0.2</v>
      </c>
      <c r="AM46" s="6">
        <f>'peak area'!E46</f>
        <v>0.01</v>
      </c>
      <c r="AN46" s="21">
        <f t="shared" si="2"/>
        <v>0.2</v>
      </c>
      <c r="AO46" s="21">
        <f t="shared" ref="AO46:AP46" si="69">D46</f>
        <v>-23.2</v>
      </c>
      <c r="AP46" s="23">
        <f t="shared" si="69"/>
        <v>1.1599999999999999</v>
      </c>
      <c r="AQ46" s="6">
        <f t="shared" si="4"/>
        <v>0.74316290130796681</v>
      </c>
      <c r="AR46" s="15"/>
      <c r="AS46" s="6"/>
      <c r="AT46" s="16"/>
      <c r="AU46" s="16"/>
    </row>
    <row r="47" spans="2:47" ht="12.75" customHeight="1">
      <c r="C47" s="2">
        <f t="shared" si="68"/>
        <v>200</v>
      </c>
      <c r="D47" s="15">
        <f t="shared" si="65"/>
        <v>-22.5</v>
      </c>
      <c r="E47" s="6">
        <f t="shared" si="66"/>
        <v>1.125</v>
      </c>
      <c r="V47" s="6">
        <f>'IRMS data'!$E130</f>
        <v>-22.5</v>
      </c>
      <c r="AK47" s="17"/>
      <c r="AL47" s="28">
        <f>'peak area'!D47</f>
        <v>0.2</v>
      </c>
      <c r="AM47" s="6">
        <f>'peak area'!E47</f>
        <v>0.01</v>
      </c>
      <c r="AN47" s="21">
        <f t="shared" si="2"/>
        <v>0.2</v>
      </c>
      <c r="AO47" s="21">
        <f t="shared" ref="AO47:AP47" si="70">D47</f>
        <v>-22.5</v>
      </c>
      <c r="AP47" s="23">
        <f t="shared" si="70"/>
        <v>1.125</v>
      </c>
      <c r="AQ47" s="6">
        <f t="shared" si="4"/>
        <v>0.79012345679012341</v>
      </c>
      <c r="AR47" s="15"/>
      <c r="AS47" s="6"/>
      <c r="AT47" s="16"/>
      <c r="AU47" s="16"/>
    </row>
    <row r="48" spans="2:47" ht="12.75" customHeight="1">
      <c r="C48" s="2">
        <f t="shared" si="68"/>
        <v>250</v>
      </c>
      <c r="D48" s="15">
        <f t="shared" si="65"/>
        <v>-23.8</v>
      </c>
      <c r="E48" s="6">
        <f t="shared" si="66"/>
        <v>1.1900000000000002</v>
      </c>
      <c r="V48" s="6">
        <f>'IRMS data'!$E131</f>
        <v>-23.8</v>
      </c>
      <c r="AK48" s="17"/>
      <c r="AL48" s="28">
        <f>'peak area'!D48</f>
        <v>0.2</v>
      </c>
      <c r="AM48" s="6">
        <f>'peak area'!E48</f>
        <v>0.01</v>
      </c>
      <c r="AN48" s="21">
        <f t="shared" si="2"/>
        <v>0.2</v>
      </c>
      <c r="AO48" s="21">
        <f t="shared" ref="AO48:AP48" si="71">D48</f>
        <v>-23.8</v>
      </c>
      <c r="AP48" s="23">
        <f t="shared" si="71"/>
        <v>1.1900000000000002</v>
      </c>
      <c r="AQ48" s="6">
        <f t="shared" si="4"/>
        <v>0.70616481886872373</v>
      </c>
      <c r="AR48" s="15"/>
      <c r="AS48" s="6"/>
      <c r="AT48" s="16"/>
      <c r="AU48" s="16"/>
    </row>
    <row r="49" spans="1:47" ht="12.75" customHeight="1">
      <c r="C49" s="2">
        <f t="shared" si="68"/>
        <v>300</v>
      </c>
      <c r="D49" s="15">
        <f t="shared" si="65"/>
        <v>-24.8</v>
      </c>
      <c r="E49" s="6">
        <f t="shared" si="66"/>
        <v>1.24</v>
      </c>
      <c r="V49" s="6">
        <f>'IRMS data'!$E132</f>
        <v>-24.8</v>
      </c>
      <c r="AK49" s="17"/>
      <c r="AL49" s="28">
        <f>'peak area'!D49</f>
        <v>0.3</v>
      </c>
      <c r="AM49" s="6">
        <f>'peak area'!E49</f>
        <v>1.4999999999999999E-2</v>
      </c>
      <c r="AN49" s="21">
        <f t="shared" si="2"/>
        <v>0.3</v>
      </c>
      <c r="AO49" s="21">
        <f t="shared" ref="AO49:AP49" si="72">D49</f>
        <v>-24.8</v>
      </c>
      <c r="AP49" s="23">
        <f t="shared" si="72"/>
        <v>1.24</v>
      </c>
      <c r="AQ49" s="6">
        <f t="shared" si="4"/>
        <v>0.65036420395421435</v>
      </c>
      <c r="AR49" s="15"/>
      <c r="AS49" s="6"/>
      <c r="AT49" s="16"/>
      <c r="AU49" s="16"/>
    </row>
    <row r="50" spans="1:47" ht="12.75" customHeight="1">
      <c r="C50" s="1">
        <v>340</v>
      </c>
      <c r="D50" s="15">
        <f t="shared" si="65"/>
        <v>-22.6</v>
      </c>
      <c r="E50" s="6">
        <f t="shared" si="66"/>
        <v>1.1300000000000001</v>
      </c>
      <c r="V50" s="6">
        <f>'IRMS data'!$E133</f>
        <v>-22.6</v>
      </c>
      <c r="AK50" s="17"/>
      <c r="AL50" s="28">
        <f>'peak area'!D50</f>
        <v>0.3</v>
      </c>
      <c r="AM50" s="6">
        <f>'peak area'!E50</f>
        <v>1.4999999999999999E-2</v>
      </c>
      <c r="AN50" s="21">
        <f t="shared" si="2"/>
        <v>0.3</v>
      </c>
      <c r="AO50" s="21">
        <f t="shared" ref="AO50:AP50" si="73">D50</f>
        <v>-22.6</v>
      </c>
      <c r="AP50" s="23">
        <f t="shared" si="73"/>
        <v>1.1300000000000001</v>
      </c>
      <c r="AQ50" s="6">
        <f t="shared" si="4"/>
        <v>0.78314668337379567</v>
      </c>
      <c r="AR50" s="15"/>
      <c r="AS50" s="6"/>
      <c r="AT50" s="16"/>
      <c r="AU50" s="16"/>
    </row>
    <row r="51" spans="1:47" ht="12.75" customHeight="1">
      <c r="C51" s="1">
        <v>390</v>
      </c>
      <c r="D51" s="15">
        <f t="shared" si="65"/>
        <v>-23.7</v>
      </c>
      <c r="E51" s="6">
        <f t="shared" si="66"/>
        <v>1.1850000000000001</v>
      </c>
      <c r="V51" s="6">
        <f>'IRMS data'!$E134</f>
        <v>-23.7</v>
      </c>
      <c r="AK51" s="17"/>
      <c r="AL51" s="28">
        <f>'peak area'!D51</f>
        <v>0.4</v>
      </c>
      <c r="AM51" s="6">
        <f>'peak area'!E51</f>
        <v>0.02</v>
      </c>
      <c r="AN51" s="21">
        <f t="shared" si="2"/>
        <v>0.4</v>
      </c>
      <c r="AO51" s="21">
        <f t="shared" ref="AO51:AP51" si="74">D51</f>
        <v>-23.7</v>
      </c>
      <c r="AP51" s="23">
        <f t="shared" si="74"/>
        <v>1.1850000000000001</v>
      </c>
      <c r="AQ51" s="6">
        <f t="shared" si="4"/>
        <v>0.71213658779753952</v>
      </c>
      <c r="AR51" s="15"/>
      <c r="AS51" s="6"/>
      <c r="AT51" s="16"/>
      <c r="AU51" s="16"/>
    </row>
    <row r="52" spans="1:47" ht="12.75" customHeight="1">
      <c r="D52" s="15"/>
      <c r="E52" s="6"/>
      <c r="V52" s="6"/>
      <c r="AK52" s="17"/>
      <c r="AL52" s="28"/>
      <c r="AM52" s="6"/>
      <c r="AN52" s="21"/>
      <c r="AO52" s="21"/>
      <c r="AP52" s="23"/>
      <c r="AR52" s="15"/>
      <c r="AS52" s="6"/>
      <c r="AT52" s="16"/>
      <c r="AU52" s="16"/>
    </row>
    <row r="53" spans="1:47" ht="12.75" customHeight="1">
      <c r="A53" s="2" t="str">
        <f>CONCATENATE(overview!$C3," ",overview!$D3)</f>
        <v>a-pin, 1-buOH cont flow bag, top</v>
      </c>
      <c r="B53" s="1" t="s">
        <v>107</v>
      </c>
      <c r="C53" s="1">
        <v>100</v>
      </c>
      <c r="D53" s="15">
        <f t="shared" ref="D53:D59" si="75">W53</f>
        <v>-26.3</v>
      </c>
      <c r="E53" s="6">
        <f t="shared" ref="E53:E59" si="76">ABS(W53/100*5)</f>
        <v>1.3149999999999999</v>
      </c>
      <c r="V53" s="6"/>
      <c r="W53" s="6">
        <f>'IRMS data'!$E219</f>
        <v>-26.3</v>
      </c>
      <c r="AK53" s="17"/>
      <c r="AL53" s="28">
        <f>'peak area'!D53</f>
        <v>4.2</v>
      </c>
      <c r="AM53" s="6">
        <f>'peak area'!E53</f>
        <v>0.21000000000000002</v>
      </c>
      <c r="AN53" s="21">
        <f t="array" ref="AN53:AN59">AL53:AL59-AL$38:AL$44</f>
        <v>4.1000000000000005</v>
      </c>
      <c r="AO53" s="21">
        <f t="array" ref="AO53:AO59">( (AL53:AL59)*(D53:D59)-(AL$38:AL$44)*(D$38:D$44))/(AN53:AN59)</f>
        <v>-26.443902439024388</v>
      </c>
      <c r="AP53" s="23">
        <f t="array" ref="AP53:AP59">SQRT( 1/AN53:AN59^2 * (  ( (D53:D59-D$38:D$44)/AN53:AN59 )^2 * ( (AL$38:AL$44*AM53:AM59)^2 + (AL53:AL59*AM$38:AM$44)^2 ) + (AL53:AL59*E53:E59)^2 + (AL$38:AL$44*E$38:E$44)^2 )  )</f>
        <v>1.3470977510623163</v>
      </c>
      <c r="AQ53" s="6">
        <f t="shared" ref="AQ53:AQ101" si="77">1/AP53^2</f>
        <v>0.55106366694494013</v>
      </c>
      <c r="AR53" s="15">
        <f t="shared" ref="AR53:AS53" si="78">AO53</f>
        <v>-26.443902439024388</v>
      </c>
      <c r="AS53" s="6">
        <f t="shared" si="78"/>
        <v>1.3470977510623163</v>
      </c>
      <c r="AT53" s="15">
        <f t="shared" ref="AT53:AT73" si="79">-34.28 + ( AR53 - -33.86 ) * ( 1+ -34.28/1000 ) / ( 1+ -33.86/1000 )</f>
        <v>-26.867126362033073</v>
      </c>
      <c r="AU53" s="15">
        <f t="shared" ref="AU53:AU73" si="80">AT53--29.96</f>
        <v>3.0928736379669282</v>
      </c>
    </row>
    <row r="54" spans="1:47" ht="12.75" customHeight="1">
      <c r="C54" s="2">
        <f t="shared" ref="C54:C57" si="81">C53+50</f>
        <v>150</v>
      </c>
      <c r="D54" s="15">
        <f t="shared" si="75"/>
        <v>-28.7</v>
      </c>
      <c r="E54" s="6">
        <f t="shared" si="76"/>
        <v>1.4349999999999998</v>
      </c>
      <c r="V54" s="6"/>
      <c r="W54" s="6">
        <f>'IRMS data'!$E220</f>
        <v>-28.7</v>
      </c>
      <c r="AK54" s="17"/>
      <c r="AL54" s="28">
        <f>'peak area'!D54</f>
        <v>14</v>
      </c>
      <c r="AM54" s="6">
        <f>'peak area'!E54</f>
        <v>0.70000000000000007</v>
      </c>
      <c r="AN54" s="21">
        <v>13.85</v>
      </c>
      <c r="AO54" s="21">
        <v>-28.773646209386282</v>
      </c>
      <c r="AP54" s="23">
        <v>1.4509836695237655</v>
      </c>
      <c r="AQ54" s="6">
        <f t="shared" si="77"/>
        <v>0.47497959279547092</v>
      </c>
      <c r="AR54" s="15">
        <f t="shared" ref="AR54:AS54" si="82">AO54</f>
        <v>-28.773646209386282</v>
      </c>
      <c r="AS54" s="6">
        <f t="shared" si="82"/>
        <v>1.4509836695237655</v>
      </c>
      <c r="AT54" s="15">
        <f t="shared" si="79"/>
        <v>-29.195857347101374</v>
      </c>
      <c r="AU54" s="15">
        <f t="shared" si="80"/>
        <v>0.76414265289862726</v>
      </c>
    </row>
    <row r="55" spans="1:47" ht="12.75" customHeight="1">
      <c r="C55" s="2">
        <f t="shared" si="81"/>
        <v>200</v>
      </c>
      <c r="D55" s="15">
        <f t="shared" si="75"/>
        <v>-28.4</v>
      </c>
      <c r="E55" s="6">
        <f t="shared" si="76"/>
        <v>1.42</v>
      </c>
      <c r="V55" s="6"/>
      <c r="W55" s="6">
        <f>'IRMS data'!$E221</f>
        <v>-28.4</v>
      </c>
      <c r="AK55" s="17"/>
      <c r="AL55" s="28">
        <f>'peak area'!D55</f>
        <v>8.5</v>
      </c>
      <c r="AM55" s="6">
        <f>'peak area'!E55</f>
        <v>0.42500000000000004</v>
      </c>
      <c r="AN55" s="21">
        <v>8.3000000000000007</v>
      </c>
      <c r="AO55" s="21">
        <v>-28.545783132530115</v>
      </c>
      <c r="AP55" s="23">
        <v>1.4543168768720263</v>
      </c>
      <c r="AQ55" s="6">
        <f t="shared" si="77"/>
        <v>0.47280483819008851</v>
      </c>
      <c r="AR55" s="15">
        <f t="shared" ref="AR55:AS55" si="83">AO55</f>
        <v>-28.545783132530115</v>
      </c>
      <c r="AS55" s="6">
        <f t="shared" si="83"/>
        <v>1.4543168768720263</v>
      </c>
      <c r="AT55" s="15">
        <f t="shared" si="79"/>
        <v>-28.968093326792168</v>
      </c>
      <c r="AU55" s="15">
        <f t="shared" si="80"/>
        <v>0.99190667320783277</v>
      </c>
    </row>
    <row r="56" spans="1:47" ht="12.75" customHeight="1">
      <c r="C56" s="2">
        <f t="shared" si="81"/>
        <v>250</v>
      </c>
      <c r="D56" s="15">
        <f t="shared" si="75"/>
        <v>-28.2</v>
      </c>
      <c r="E56" s="6">
        <f t="shared" si="76"/>
        <v>1.41</v>
      </c>
      <c r="V56" s="6"/>
      <c r="W56" s="6">
        <f>'IRMS data'!$E222</f>
        <v>-28.2</v>
      </c>
      <c r="AK56" s="17"/>
      <c r="AL56" s="28">
        <f>'peak area'!D56</f>
        <v>5.6</v>
      </c>
      <c r="AM56" s="6">
        <f>'peak area'!E56</f>
        <v>0.27999999999999997</v>
      </c>
      <c r="AN56" s="21">
        <v>5.3</v>
      </c>
      <c r="AO56" s="21">
        <v>-28.45754716981132</v>
      </c>
      <c r="AP56" s="23">
        <v>1.4969330995535675</v>
      </c>
      <c r="AQ56" s="6">
        <f t="shared" si="77"/>
        <v>0.44626745601905665</v>
      </c>
      <c r="AR56" s="15">
        <f t="shared" ref="AR56:AS56" si="84">AO56</f>
        <v>-28.45754716981132</v>
      </c>
      <c r="AS56" s="6">
        <f t="shared" si="84"/>
        <v>1.4969330995535675</v>
      </c>
      <c r="AT56" s="15">
        <f t="shared" si="79"/>
        <v>-28.879895721976307</v>
      </c>
      <c r="AU56" s="15">
        <f t="shared" si="80"/>
        <v>1.0801042780236934</v>
      </c>
    </row>
    <row r="57" spans="1:47" ht="12.75" customHeight="1">
      <c r="C57" s="2">
        <f t="shared" si="81"/>
        <v>300</v>
      </c>
      <c r="D57" s="15">
        <f t="shared" si="75"/>
        <v>-29.1</v>
      </c>
      <c r="E57" s="6">
        <f t="shared" si="76"/>
        <v>1.4550000000000001</v>
      </c>
      <c r="V57" s="6"/>
      <c r="W57" s="6">
        <f>'IRMS data'!$E223</f>
        <v>-29.1</v>
      </c>
      <c r="AK57" s="17"/>
      <c r="AL57" s="28">
        <f>'peak area'!D57</f>
        <v>5.6</v>
      </c>
      <c r="AM57" s="6">
        <f>'peak area'!E57</f>
        <v>0.27999999999999997</v>
      </c>
      <c r="AN57" s="21">
        <v>5.35</v>
      </c>
      <c r="AO57" s="21">
        <v>-29.338317757009349</v>
      </c>
      <c r="AP57" s="23">
        <v>1.5246894637851065</v>
      </c>
      <c r="AQ57" s="6">
        <f t="shared" si="77"/>
        <v>0.43016710993362328</v>
      </c>
      <c r="AR57" s="15">
        <f t="shared" ref="AR57:AS57" si="85">AO57</f>
        <v>-29.338317757009349</v>
      </c>
      <c r="AS57" s="6">
        <f t="shared" si="85"/>
        <v>1.5246894637851065</v>
      </c>
      <c r="AT57" s="15">
        <f t="shared" si="79"/>
        <v>-29.76028342093182</v>
      </c>
      <c r="AU57" s="15">
        <f t="shared" si="80"/>
        <v>0.19971657906818052</v>
      </c>
    </row>
    <row r="58" spans="1:47" ht="12.75" customHeight="1">
      <c r="C58" s="1">
        <v>340</v>
      </c>
      <c r="D58" s="15">
        <f t="shared" si="75"/>
        <v>-29.3</v>
      </c>
      <c r="E58" s="6">
        <f t="shared" si="76"/>
        <v>1.4649999999999999</v>
      </c>
      <c r="V58" s="6"/>
      <c r="W58" s="6">
        <f>'IRMS data'!$E224</f>
        <v>-29.3</v>
      </c>
      <c r="AK58" s="17"/>
      <c r="AL58" s="28">
        <f>'peak area'!D58</f>
        <v>6.1</v>
      </c>
      <c r="AM58" s="6">
        <f>'peak area'!E58</f>
        <v>0.30499999999999999</v>
      </c>
      <c r="AN58" s="21">
        <v>5.75</v>
      </c>
      <c r="AO58" s="21">
        <v>-29.616521739130434</v>
      </c>
      <c r="AP58" s="23">
        <v>1.5559587236709591</v>
      </c>
      <c r="AQ58" s="6">
        <f t="shared" si="77"/>
        <v>0.41305116958265037</v>
      </c>
      <c r="AR58" s="15">
        <f t="shared" ref="AR58:AS58" si="86">AO58</f>
        <v>-29.616521739130434</v>
      </c>
      <c r="AS58" s="6">
        <f t="shared" si="86"/>
        <v>1.5559587236709591</v>
      </c>
      <c r="AT58" s="15">
        <f t="shared" si="79"/>
        <v>-30.038366462327453</v>
      </c>
      <c r="AU58" s="15">
        <f t="shared" si="80"/>
        <v>-7.8366462327451814E-2</v>
      </c>
    </row>
    <row r="59" spans="1:47" ht="12.75" customHeight="1">
      <c r="C59" s="1">
        <v>390</v>
      </c>
      <c r="D59" s="15">
        <f t="shared" si="75"/>
        <v>-29.1</v>
      </c>
      <c r="E59" s="6">
        <f t="shared" si="76"/>
        <v>1.4550000000000001</v>
      </c>
      <c r="V59" s="6"/>
      <c r="W59" s="6">
        <f>'IRMS data'!$E225</f>
        <v>-29.1</v>
      </c>
      <c r="AK59" s="17"/>
      <c r="AL59" s="28">
        <f>'peak area'!D59</f>
        <v>6.7</v>
      </c>
      <c r="AM59" s="6">
        <f>'peak area'!E59</f>
        <v>0.33500000000000002</v>
      </c>
      <c r="AN59" s="21">
        <v>6.05</v>
      </c>
      <c r="AO59" s="21">
        <v>-29.744628099173561</v>
      </c>
      <c r="AP59" s="23">
        <v>1.6695591314912608</v>
      </c>
      <c r="AQ59" s="6">
        <f t="shared" si="77"/>
        <v>0.35875370052304822</v>
      </c>
      <c r="AR59" s="15">
        <f t="shared" ref="AR59:AS59" si="87">AO59</f>
        <v>-29.744628099173561</v>
      </c>
      <c r="AS59" s="6">
        <f t="shared" si="87"/>
        <v>1.6695591314912608</v>
      </c>
      <c r="AT59" s="15">
        <f t="shared" si="79"/>
        <v>-30.166417132024232</v>
      </c>
      <c r="AU59" s="15">
        <f t="shared" si="80"/>
        <v>-0.20641713202423162</v>
      </c>
    </row>
    <row r="60" spans="1:47" ht="12.75" customHeight="1">
      <c r="A60" s="2" t="str">
        <f>CONCATENATE(overview!$C4," ",overview!$D4)</f>
        <v>a-pin, 1-buOH cont flow bag, bottom</v>
      </c>
      <c r="B60" s="1" t="s">
        <v>109</v>
      </c>
      <c r="C60" s="1">
        <v>100</v>
      </c>
      <c r="D60" s="21">
        <f t="shared" ref="D60:D66" si="88">AVERAGE(X60:Y60)</f>
        <v>-26.1</v>
      </c>
      <c r="E60" s="6">
        <f t="shared" ref="E60:E66" si="89">STDEV(X60:Y60)</f>
        <v>0.141421356237309</v>
      </c>
      <c r="V60" s="6"/>
      <c r="W60" s="6"/>
      <c r="X60" s="6">
        <f>'IRMS data'!$E135</f>
        <v>-26</v>
      </c>
      <c r="Y60" s="6">
        <f>'IRMS data'!$E177</f>
        <v>-26.2</v>
      </c>
      <c r="AK60" s="17"/>
      <c r="AL60" s="28">
        <f>'peak area'!D60</f>
        <v>2.2999999999999998</v>
      </c>
      <c r="AM60" s="6">
        <f>'peak area'!E60</f>
        <v>0.11499999999999999</v>
      </c>
      <c r="AN60" s="21">
        <f t="array" ref="AN60:AN66">AL60:AL66-AL$3:AL$9</f>
        <v>2.0666666666666664</v>
      </c>
      <c r="AO60" s="21">
        <f t="array" ref="AO60:AO66">( (AL60:AL66)*(D60:D66)-(AL$3:AL$9)*(D$3:D$9))/(AN60:AN66)</f>
        <v>-26.63440860215054</v>
      </c>
      <c r="AP60" s="23">
        <f t="array" ref="AP60:AP66">SQRT( 1/AN60:AN66^2 * (  ( (D60:D66-D$3:D$9)/AN60:AN66 )^2 * ( (AL$3:AL$9*AM60:AM66)^2 + (AL60:AL66*AM$3:AM$9)^2 ) + (AL60:AL66*E60:E66)^2 + (AL$3:AL$9*E$3:E$9)^2 )  )</f>
        <v>0.36888260909614218</v>
      </c>
      <c r="AQ60" s="6">
        <f t="shared" si="77"/>
        <v>7.3489220027417783</v>
      </c>
      <c r="AR60" s="15">
        <f t="shared" ref="AR60:AS60" si="90">AO60</f>
        <v>-26.63440860215054</v>
      </c>
      <c r="AS60" s="6">
        <f t="shared" si="90"/>
        <v>0.36888260909614218</v>
      </c>
      <c r="AT60" s="15">
        <f t="shared" si="79"/>
        <v>-27.057549708395079</v>
      </c>
      <c r="AU60" s="15">
        <f t="shared" si="80"/>
        <v>2.9024502916049215</v>
      </c>
    </row>
    <row r="61" spans="1:47" ht="12.75" customHeight="1">
      <c r="C61" s="2">
        <f t="shared" ref="C61:C64" si="91">C60+50</f>
        <v>150</v>
      </c>
      <c r="D61" s="21">
        <f t="shared" si="88"/>
        <v>-30</v>
      </c>
      <c r="E61" s="6">
        <f t="shared" si="89"/>
        <v>0.14142135623731153</v>
      </c>
      <c r="V61" s="6"/>
      <c r="W61" s="6"/>
      <c r="X61" s="6">
        <f>'IRMS data'!$E136</f>
        <v>-30.1</v>
      </c>
      <c r="Y61" s="6">
        <f>'IRMS data'!$E178</f>
        <v>-29.9</v>
      </c>
      <c r="AK61" s="17"/>
      <c r="AL61" s="28">
        <f>'peak area'!D61</f>
        <v>7.9</v>
      </c>
      <c r="AM61" s="6">
        <f>'peak area'!E61</f>
        <v>0.39500000000000002</v>
      </c>
      <c r="AN61" s="21">
        <v>7.6000000000000005</v>
      </c>
      <c r="AO61" s="21">
        <v>-30.264473684210522</v>
      </c>
      <c r="AP61" s="23">
        <v>0.16160194933577449</v>
      </c>
      <c r="AQ61" s="6">
        <f t="shared" si="77"/>
        <v>38.291890615571049</v>
      </c>
      <c r="AR61" s="15">
        <f t="shared" ref="AR61:AS61" si="92">AO61</f>
        <v>-30.264473684210522</v>
      </c>
      <c r="AS61" s="6">
        <f t="shared" si="92"/>
        <v>0.16160194933577449</v>
      </c>
      <c r="AT61" s="15">
        <f t="shared" si="79"/>
        <v>-30.686036729993361</v>
      </c>
      <c r="AU61" s="15">
        <f t="shared" si="80"/>
        <v>-0.72603672999336055</v>
      </c>
    </row>
    <row r="62" spans="1:47" ht="12.75" customHeight="1">
      <c r="C62" s="2">
        <f t="shared" si="91"/>
        <v>200</v>
      </c>
      <c r="D62" s="21">
        <f t="shared" si="88"/>
        <v>-29.5</v>
      </c>
      <c r="E62" s="6">
        <f t="shared" si="89"/>
        <v>0.14142135623731153</v>
      </c>
      <c r="V62" s="6"/>
      <c r="W62" s="6"/>
      <c r="X62" s="6">
        <f>'IRMS data'!$E137</f>
        <v>-29.6</v>
      </c>
      <c r="Y62" s="6">
        <f>'IRMS data'!$E179</f>
        <v>-29.4</v>
      </c>
      <c r="AK62" s="17"/>
      <c r="AL62" s="28">
        <f>'peak area'!D62</f>
        <v>6.4</v>
      </c>
      <c r="AM62" s="6">
        <f>'peak area'!E62</f>
        <v>0.32</v>
      </c>
      <c r="AN62" s="21">
        <v>6.1333333333333337</v>
      </c>
      <c r="AO62" s="21">
        <v>-29.823188405797101</v>
      </c>
      <c r="AP62" s="23">
        <v>0.18717839483288931</v>
      </c>
      <c r="AQ62" s="6">
        <f t="shared" si="77"/>
        <v>28.54227346092874</v>
      </c>
      <c r="AR62" s="15">
        <f t="shared" ref="AR62:AS62" si="93">AO62</f>
        <v>-29.823188405797101</v>
      </c>
      <c r="AS62" s="6">
        <f t="shared" si="93"/>
        <v>0.18717839483288931</v>
      </c>
      <c r="AT62" s="15">
        <f t="shared" si="79"/>
        <v>-30.244943286942242</v>
      </c>
      <c r="AU62" s="15">
        <f t="shared" si="80"/>
        <v>-0.2849432869422408</v>
      </c>
    </row>
    <row r="63" spans="1:47" ht="12.75" customHeight="1">
      <c r="C63" s="2">
        <f t="shared" si="91"/>
        <v>250</v>
      </c>
      <c r="D63" s="21">
        <f t="shared" si="88"/>
        <v>-28.35</v>
      </c>
      <c r="E63" s="6">
        <f t="shared" si="89"/>
        <v>7.0710678118653253E-2</v>
      </c>
      <c r="V63" s="6"/>
      <c r="W63" s="6"/>
      <c r="X63" s="6">
        <f>'IRMS data'!$E138</f>
        <v>-28.3</v>
      </c>
      <c r="Y63" s="6">
        <f>'IRMS data'!$E180</f>
        <v>-28.4</v>
      </c>
      <c r="AK63" s="17"/>
      <c r="AL63" s="28">
        <f>'peak area'!D63</f>
        <v>6</v>
      </c>
      <c r="AM63" s="6">
        <f>'peak area'!E63</f>
        <v>0.3</v>
      </c>
      <c r="AN63" s="21">
        <v>5.5666666666666664</v>
      </c>
      <c r="AO63" s="21">
        <v>-28.691217564870264</v>
      </c>
      <c r="AP63" s="23">
        <v>9.2891268213930178E-2</v>
      </c>
      <c r="AQ63" s="6">
        <f t="shared" si="77"/>
        <v>115.8911348341115</v>
      </c>
      <c r="AR63" s="15">
        <f t="shared" ref="AR63:AS63" si="94">AO63</f>
        <v>-28.691217564870264</v>
      </c>
      <c r="AS63" s="6">
        <f t="shared" si="94"/>
        <v>9.2891268213930178E-2</v>
      </c>
      <c r="AT63" s="15">
        <f t="shared" si="79"/>
        <v>-29.113464535933211</v>
      </c>
      <c r="AU63" s="15">
        <f t="shared" si="80"/>
        <v>0.8465354640667897</v>
      </c>
    </row>
    <row r="64" spans="1:47" ht="12.75" customHeight="1">
      <c r="C64" s="2">
        <f t="shared" si="91"/>
        <v>300</v>
      </c>
      <c r="D64" s="21">
        <f t="shared" si="88"/>
        <v>-28.3</v>
      </c>
      <c r="E64" s="6">
        <f t="shared" si="89"/>
        <v>0</v>
      </c>
      <c r="V64" s="6"/>
      <c r="W64" s="6"/>
      <c r="X64" s="6">
        <f>'IRMS data'!$E139</f>
        <v>-28.3</v>
      </c>
      <c r="Y64" s="6">
        <f>'IRMS data'!$E181</f>
        <v>-28.3</v>
      </c>
      <c r="AK64" s="17"/>
      <c r="AL64" s="28">
        <f>'peak area'!D64</f>
        <v>7.5</v>
      </c>
      <c r="AM64" s="6">
        <f>'peak area'!E64</f>
        <v>0.375</v>
      </c>
      <c r="AN64" s="21">
        <v>7.166666666666667</v>
      </c>
      <c r="AO64" s="21">
        <v>-28.473643410852709</v>
      </c>
      <c r="AP64" s="23">
        <v>4.7419705723513964E-2</v>
      </c>
      <c r="AQ64" s="6">
        <f t="shared" si="77"/>
        <v>444.71552506109288</v>
      </c>
      <c r="AR64" s="15">
        <f t="shared" ref="AR64:AS64" si="95">AO64</f>
        <v>-28.473643410852709</v>
      </c>
      <c r="AS64" s="6">
        <f t="shared" si="95"/>
        <v>4.7419705723513964E-2</v>
      </c>
      <c r="AT64" s="15">
        <f t="shared" si="79"/>
        <v>-28.895984965666138</v>
      </c>
      <c r="AU64" s="15">
        <f t="shared" si="80"/>
        <v>1.0640150343338632</v>
      </c>
    </row>
    <row r="65" spans="1:47" ht="12.75" customHeight="1">
      <c r="C65" s="1">
        <v>340</v>
      </c>
      <c r="D65" s="21">
        <f t="shared" si="88"/>
        <v>-27.95</v>
      </c>
      <c r="E65" s="6">
        <f t="shared" si="89"/>
        <v>7.0710678118655765E-2</v>
      </c>
      <c r="V65" s="6"/>
      <c r="W65" s="6"/>
      <c r="X65" s="6">
        <f>'IRMS data'!$E140</f>
        <v>-28</v>
      </c>
      <c r="Y65" s="6">
        <f>'IRMS data'!$E182</f>
        <v>-27.9</v>
      </c>
      <c r="AK65" s="17"/>
      <c r="AL65" s="28">
        <f>'peak area'!D65</f>
        <v>9.1</v>
      </c>
      <c r="AM65" s="6">
        <f>'peak area'!E65</f>
        <v>0.45499999999999996</v>
      </c>
      <c r="AN65" s="21">
        <v>8.6666666666666661</v>
      </c>
      <c r="AO65" s="21">
        <v>-28.134166666666665</v>
      </c>
      <c r="AP65" s="23">
        <v>0.10088664398668439</v>
      </c>
      <c r="AQ65" s="6">
        <f t="shared" si="77"/>
        <v>98.250020401269708</v>
      </c>
      <c r="AR65" s="15">
        <f t="shared" ref="AR65:AS65" si="96">AO65</f>
        <v>-28.134166666666665</v>
      </c>
      <c r="AS65" s="6">
        <f t="shared" si="96"/>
        <v>0.10088664398668439</v>
      </c>
      <c r="AT65" s="15">
        <f t="shared" si="79"/>
        <v>-28.55665579867652</v>
      </c>
      <c r="AU65" s="15">
        <f t="shared" si="80"/>
        <v>1.4033442013234811</v>
      </c>
    </row>
    <row r="66" spans="1:47" ht="12.75" customHeight="1">
      <c r="C66" s="1">
        <v>390</v>
      </c>
      <c r="D66" s="21">
        <f t="shared" si="88"/>
        <v>-28.25</v>
      </c>
      <c r="E66" s="6">
        <f t="shared" si="89"/>
        <v>0.21213203435596223</v>
      </c>
      <c r="V66" s="6"/>
      <c r="W66" s="6"/>
      <c r="X66" s="6">
        <f>'IRMS data'!$E141</f>
        <v>-28.1</v>
      </c>
      <c r="Y66" s="6">
        <f>'IRMS data'!$E183</f>
        <v>-28.4</v>
      </c>
      <c r="AK66" s="17"/>
      <c r="AL66" s="28">
        <f>'peak area'!D66</f>
        <v>12.2</v>
      </c>
      <c r="AM66" s="6">
        <f>'peak area'!E66</f>
        <v>0.61</v>
      </c>
      <c r="AN66" s="21">
        <v>11.566666666666666</v>
      </c>
      <c r="AO66" s="21">
        <v>-28.38962536023055</v>
      </c>
      <c r="AP66" s="23">
        <v>0.24411582682335822</v>
      </c>
      <c r="AQ66" s="6">
        <f t="shared" si="77"/>
        <v>16.78062475479474</v>
      </c>
      <c r="AR66" s="15">
        <f t="shared" ref="AR66:AS66" si="97">AO66</f>
        <v>-28.38962536023055</v>
      </c>
      <c r="AS66" s="6">
        <f t="shared" si="97"/>
        <v>0.24411582682335822</v>
      </c>
      <c r="AT66" s="15">
        <f t="shared" si="79"/>
        <v>-28.812003439337829</v>
      </c>
      <c r="AU66" s="15">
        <f t="shared" si="80"/>
        <v>1.1479965606621718</v>
      </c>
    </row>
    <row r="67" spans="1:47" ht="12.75" customHeight="1">
      <c r="A67" s="2" t="str">
        <f>CONCATENATE(overview!$C5," ",overview!$D5)</f>
        <v>a-pin, 1-buOH cont flow bag, top</v>
      </c>
      <c r="B67" s="1" t="s">
        <v>111</v>
      </c>
      <c r="C67" s="1">
        <v>100</v>
      </c>
      <c r="D67" s="15">
        <f t="shared" ref="D67:D73" si="98">Z67</f>
        <v>-26.6</v>
      </c>
      <c r="E67" s="6">
        <f t="shared" ref="E67:E73" si="99">ABS(Z67/100*5)</f>
        <v>1.33</v>
      </c>
      <c r="V67" s="6"/>
      <c r="Z67" s="6">
        <f>'IRMS data'!$E142</f>
        <v>-26.6</v>
      </c>
      <c r="AK67" s="17"/>
      <c r="AL67" s="28">
        <f>'peak area'!D74</f>
        <v>20</v>
      </c>
      <c r="AM67" s="6">
        <f>'peak area'!E74</f>
        <v>1</v>
      </c>
      <c r="AN67" s="21">
        <f t="array" ref="AN67:AN73">AL67:AL73-AL$24:AL$30</f>
        <v>19.833333333333332</v>
      </c>
      <c r="AO67" s="21">
        <f t="array" ref="AO67:AO73">( (AL67:AL73)*(D67:D73)-(AL$24:AL$30)*(D$24:D$30))/(AN67:AN73)</f>
        <v>-26.657703081232494</v>
      </c>
      <c r="AP67" s="23">
        <f t="array" ref="AP67:AP73">SQRT( 1/AN67:AN73^2 * (  ( (D67:D73-D$24:D$30)/AN67:AN73 )^2 * ( (AL$24:AL$30*AM67:AM73)^2 + (AL67:AL73*AM$24:AM$30)^2 ) + (AL67:AL73*E67:E73)^2 + (AL$24:AL$30*E$24:E$30)^2 )  )</f>
        <v>1.3413522353852991</v>
      </c>
      <c r="AQ67" s="6">
        <f t="shared" si="77"/>
        <v>0.55579460300786809</v>
      </c>
      <c r="AR67" s="15">
        <v>-26.701778940000001</v>
      </c>
      <c r="AS67" s="6">
        <f t="shared" ref="AS67:AS73" si="100">SQRT( 1/SUM(AQ67,AQ74) )</f>
        <v>0.16872762211949455</v>
      </c>
      <c r="AT67" s="15">
        <f t="shared" si="79"/>
        <v>-27.124890759037822</v>
      </c>
      <c r="AU67" s="15">
        <f t="shared" si="80"/>
        <v>2.8351092409621792</v>
      </c>
    </row>
    <row r="68" spans="1:47" ht="12.75" customHeight="1">
      <c r="C68" s="2">
        <f t="shared" ref="C68:C71" si="101">C67+50</f>
        <v>150</v>
      </c>
      <c r="D68" s="32">
        <f t="shared" si="98"/>
        <v>-104.5</v>
      </c>
      <c r="E68" s="33">
        <f t="shared" si="99"/>
        <v>5.2249999999999996</v>
      </c>
      <c r="V68" s="6"/>
      <c r="Z68" s="33">
        <f>'IRMS data'!$E143</f>
        <v>-104.5</v>
      </c>
      <c r="AK68" s="17"/>
      <c r="AL68" s="28">
        <f>'peak area'!D75</f>
        <v>66.400000000000006</v>
      </c>
      <c r="AM68" s="6">
        <f>'peak area'!E75</f>
        <v>3.3200000000000003</v>
      </c>
      <c r="AN68" s="21">
        <v>66.2</v>
      </c>
      <c r="AO68" s="21">
        <v>-104.75196374622357</v>
      </c>
      <c r="AP68" s="23">
        <v>5.2408007410339037</v>
      </c>
      <c r="AQ68" s="6">
        <f t="shared" si="77"/>
        <v>3.6408660760318075E-2</v>
      </c>
      <c r="AR68" s="15">
        <v>-28.32808958</v>
      </c>
      <c r="AS68" s="6">
        <f t="shared" si="100"/>
        <v>5.8398495921041314E-2</v>
      </c>
      <c r="AT68" s="15">
        <f t="shared" si="79"/>
        <v>-28.750494409917405</v>
      </c>
      <c r="AU68" s="15">
        <f t="shared" si="80"/>
        <v>1.2095055900825962</v>
      </c>
    </row>
    <row r="69" spans="1:47" ht="12.75" customHeight="1">
      <c r="C69" s="2">
        <f t="shared" si="101"/>
        <v>200</v>
      </c>
      <c r="D69" s="15">
        <f t="shared" si="98"/>
        <v>-28.2</v>
      </c>
      <c r="E69" s="6">
        <f t="shared" si="99"/>
        <v>1.41</v>
      </c>
      <c r="V69" s="6"/>
      <c r="Z69" s="6">
        <f>'IRMS data'!$E144</f>
        <v>-28.2</v>
      </c>
      <c r="AK69" s="17"/>
      <c r="AL69" s="28">
        <f>'peak area'!D76</f>
        <v>27.4</v>
      </c>
      <c r="AM69" s="6">
        <f>'peak area'!E76</f>
        <v>1.3699999999999999</v>
      </c>
      <c r="AN69" s="21">
        <v>27.2</v>
      </c>
      <c r="AO69" s="21">
        <v>-28.244362745098041</v>
      </c>
      <c r="AP69" s="23">
        <v>1.4203711809598598</v>
      </c>
      <c r="AQ69" s="6">
        <f t="shared" si="77"/>
        <v>0.49567417914420558</v>
      </c>
      <c r="AR69" s="15">
        <v>-28.024770140000001</v>
      </c>
      <c r="AS69" s="6">
        <f t="shared" si="100"/>
        <v>5.935791444365509E-2</v>
      </c>
      <c r="AT69" s="15">
        <f t="shared" si="79"/>
        <v>-28.447306828824811</v>
      </c>
      <c r="AU69" s="15">
        <f t="shared" si="80"/>
        <v>1.5126931711751901</v>
      </c>
    </row>
    <row r="70" spans="1:47" ht="12.75" customHeight="1">
      <c r="C70" s="2">
        <f t="shared" si="101"/>
        <v>250</v>
      </c>
      <c r="D70" s="15">
        <f t="shared" si="98"/>
        <v>-28.1</v>
      </c>
      <c r="E70" s="6">
        <f t="shared" si="99"/>
        <v>1.4050000000000002</v>
      </c>
      <c r="V70" s="6"/>
      <c r="Z70" s="6">
        <f>'IRMS data'!$E145</f>
        <v>-28.1</v>
      </c>
      <c r="AK70" s="17"/>
      <c r="AL70" s="28">
        <f>'peak area'!D77</f>
        <v>11.5</v>
      </c>
      <c r="AM70" s="6">
        <f>'peak area'!E77</f>
        <v>0.57500000000000007</v>
      </c>
      <c r="AN70" s="21">
        <v>11.2</v>
      </c>
      <c r="AO70" s="21">
        <v>-28.24464285714286</v>
      </c>
      <c r="AP70" s="23">
        <v>1.4426629870680689</v>
      </c>
      <c r="AQ70" s="6">
        <f t="shared" si="77"/>
        <v>0.48047436405483185</v>
      </c>
      <c r="AR70" s="15">
        <v>-27.896092459999998</v>
      </c>
      <c r="AS70" s="6">
        <f t="shared" si="100"/>
        <v>0.1222812644323503</v>
      </c>
      <c r="AT70" s="15">
        <f t="shared" si="79"/>
        <v>-28.31868508753514</v>
      </c>
      <c r="AU70" s="15">
        <f t="shared" si="80"/>
        <v>1.6413149124648605</v>
      </c>
    </row>
    <row r="71" spans="1:47" ht="12.75" customHeight="1">
      <c r="C71" s="2">
        <f t="shared" si="101"/>
        <v>300</v>
      </c>
      <c r="D71" s="15">
        <f t="shared" si="98"/>
        <v>-28.3</v>
      </c>
      <c r="E71" s="6">
        <f t="shared" si="99"/>
        <v>1.415</v>
      </c>
      <c r="V71" s="6"/>
      <c r="Z71" s="6">
        <f>'IRMS data'!$E146</f>
        <v>-28.3</v>
      </c>
      <c r="AK71" s="17"/>
      <c r="AL71" s="28">
        <f>'peak area'!D78</f>
        <v>10</v>
      </c>
      <c r="AM71" s="6">
        <f>'peak area'!E78</f>
        <v>0.5</v>
      </c>
      <c r="AN71" s="21">
        <v>9.7333333333333325</v>
      </c>
      <c r="AO71" s="21">
        <v>-28.454337899543383</v>
      </c>
      <c r="AP71" s="23">
        <v>1.4548141682203648</v>
      </c>
      <c r="AQ71" s="6">
        <f t="shared" si="77"/>
        <v>0.47248166073496956</v>
      </c>
      <c r="AR71" s="15">
        <v>-28.215810909999998</v>
      </c>
      <c r="AS71" s="6">
        <f t="shared" si="100"/>
        <v>0.33775076669331527</v>
      </c>
      <c r="AT71" s="15">
        <f t="shared" si="79"/>
        <v>-28.638264549656572</v>
      </c>
      <c r="AU71" s="15">
        <f t="shared" si="80"/>
        <v>1.3217354503434287</v>
      </c>
    </row>
    <row r="72" spans="1:47" ht="12.75" customHeight="1">
      <c r="C72" s="1">
        <v>340</v>
      </c>
      <c r="D72" s="15">
        <f t="shared" si="98"/>
        <v>-28.5</v>
      </c>
      <c r="E72" s="6">
        <f t="shared" si="99"/>
        <v>1.4249999999999998</v>
      </c>
      <c r="V72" s="6"/>
      <c r="Z72" s="6">
        <f>'IRMS data'!$E147</f>
        <v>-28.5</v>
      </c>
      <c r="AK72" s="17"/>
      <c r="AL72" s="28">
        <f>'peak area'!D79</f>
        <v>10.3</v>
      </c>
      <c r="AM72" s="6">
        <f>'peak area'!E79</f>
        <v>0.51500000000000001</v>
      </c>
      <c r="AN72" s="21">
        <v>9.9666666666666668</v>
      </c>
      <c r="AO72" s="21">
        <v>-28.676142697881826</v>
      </c>
      <c r="AP72" s="23">
        <v>1.4730295210478896</v>
      </c>
      <c r="AQ72" s="6">
        <f t="shared" si="77"/>
        <v>0.46086857774208423</v>
      </c>
      <c r="AR72" s="15">
        <v>-28.340166669999999</v>
      </c>
      <c r="AS72" s="6">
        <f t="shared" si="100"/>
        <v>0.31785471768648804</v>
      </c>
      <c r="AT72" s="15">
        <f t="shared" si="79"/>
        <v>-28.762566249769598</v>
      </c>
      <c r="AU72" s="15">
        <f t="shared" si="80"/>
        <v>1.1974337502304024</v>
      </c>
    </row>
    <row r="73" spans="1:47" ht="12.75" customHeight="1">
      <c r="C73" s="1">
        <v>390</v>
      </c>
      <c r="D73" s="15">
        <f t="shared" si="98"/>
        <v>-28.5</v>
      </c>
      <c r="E73" s="6">
        <f t="shared" si="99"/>
        <v>1.4249999999999998</v>
      </c>
      <c r="V73" s="6"/>
      <c r="Z73" s="6">
        <f>'IRMS data'!$E148</f>
        <v>-28.5</v>
      </c>
      <c r="AK73" s="17"/>
      <c r="AL73" s="28">
        <f>'peak area'!D80</f>
        <v>10.5</v>
      </c>
      <c r="AM73" s="6">
        <f>'peak area'!E80</f>
        <v>0.52500000000000002</v>
      </c>
      <c r="AN73" s="21">
        <v>9.9333333333333336</v>
      </c>
      <c r="AO73" s="21">
        <v>-28.792841163310964</v>
      </c>
      <c r="AP73" s="23">
        <v>1.5139359978467664</v>
      </c>
      <c r="AQ73" s="6">
        <f t="shared" si="77"/>
        <v>0.43629975467173138</v>
      </c>
      <c r="AR73" s="15">
        <v>-28.577856730000001</v>
      </c>
      <c r="AS73" s="6">
        <f t="shared" si="100"/>
        <v>0.30700281003815838</v>
      </c>
      <c r="AT73" s="15">
        <f t="shared" si="79"/>
        <v>-29.000152981240401</v>
      </c>
      <c r="AU73" s="15">
        <f t="shared" si="80"/>
        <v>0.95984701875959999</v>
      </c>
    </row>
    <row r="74" spans="1:47" ht="12.75" customHeight="1">
      <c r="B74" s="1" t="s">
        <v>112</v>
      </c>
      <c r="C74" s="1">
        <v>100</v>
      </c>
      <c r="D74" s="21">
        <f t="shared" ref="D74:D80" si="102">AVERAGE(AA74:AC74)</f>
        <v>-26.533333333333331</v>
      </c>
      <c r="E74" s="6">
        <f t="shared" ref="E74:E80" si="103">STDEV(AA74:AC74)</f>
        <v>0.15275252316519491</v>
      </c>
      <c r="V74" s="6"/>
      <c r="AA74" s="6">
        <f>'IRMS data'!$E149</f>
        <v>-26.7</v>
      </c>
      <c r="AB74" s="6">
        <f>'IRMS data'!$E156</f>
        <v>-26.5</v>
      </c>
      <c r="AC74" s="6">
        <f>'IRMS data'!$E163</f>
        <v>-26.4</v>
      </c>
      <c r="AK74" s="17"/>
      <c r="AL74" s="28">
        <f>'peak area'!D81</f>
        <v>3.4333333333333336</v>
      </c>
      <c r="AM74" s="6">
        <f>'peak area'!E81</f>
        <v>0.3511884584284245</v>
      </c>
      <c r="AN74" s="21">
        <f t="array" ref="AN74:AN80">AL74:AL80 - 0.5*(AL$24:AL$30)</f>
        <v>3.35</v>
      </c>
      <c r="AO74" s="21">
        <f t="array" ref="AO74:AO80">( (AL74:AL80)*(D74:D80)- 0.5*(AL$24:AL$30)*(D$24:D$30))/(AN74:AN80)</f>
        <v>-26.702487562189052</v>
      </c>
      <c r="AP74" s="23">
        <f t="array" ref="AP74:AP80">SQRT( 1/AN74:AN80^2 * (  ( (D74:D80-D$24:D$30)/AN74:AN80 )^2 * ( (0.5*(AL$24:AL$30)*AM74:AM80)^2 + (AL74:AL80*0.5*(AM$24:AM$30))^2 ) + (AL74:AL80*E74:E80)^2 + (0.5*(AL$24:AL$30)*E$24:E$30)^2 )  )</f>
        <v>0.17007855726729421</v>
      </c>
      <c r="AQ74" s="6">
        <f t="shared" si="77"/>
        <v>34.570118929912624</v>
      </c>
      <c r="AR74" s="15"/>
      <c r="AS74" s="6"/>
      <c r="AT74" s="16"/>
      <c r="AU74" s="16"/>
    </row>
    <row r="75" spans="1:47" ht="12.75" customHeight="1">
      <c r="C75" s="2">
        <f t="shared" ref="C75:C78" si="104">C74+50</f>
        <v>150</v>
      </c>
      <c r="D75" s="21">
        <f t="shared" si="102"/>
        <v>-28.266666666666666</v>
      </c>
      <c r="E75" s="6">
        <f t="shared" si="103"/>
        <v>5.77350269189634E-2</v>
      </c>
      <c r="V75" s="6"/>
      <c r="AA75" s="6">
        <f>'IRMS data'!$E150</f>
        <v>-28.3</v>
      </c>
      <c r="AB75" s="6">
        <f>'IRMS data'!$E157</f>
        <v>-28.3</v>
      </c>
      <c r="AC75" s="6">
        <f>'IRMS data'!$E164</f>
        <v>-28.2</v>
      </c>
      <c r="AK75" s="17"/>
      <c r="AL75" s="28">
        <f>'peak area'!D82</f>
        <v>13.9</v>
      </c>
      <c r="AM75" s="6">
        <f>'peak area'!E82</f>
        <v>1.4177446878757822</v>
      </c>
      <c r="AN75" s="21">
        <v>13.8</v>
      </c>
      <c r="AO75" s="21">
        <v>-28.318599033816419</v>
      </c>
      <c r="AP75" s="23">
        <v>5.8402121857092225E-2</v>
      </c>
      <c r="AQ75" s="6">
        <f t="shared" si="77"/>
        <v>293.18567555513783</v>
      </c>
      <c r="AR75" s="15"/>
      <c r="AS75" s="6"/>
      <c r="AT75" s="16"/>
      <c r="AU75" s="16"/>
    </row>
    <row r="76" spans="1:47" ht="12.75" customHeight="1">
      <c r="C76" s="2">
        <f t="shared" si="104"/>
        <v>200</v>
      </c>
      <c r="D76" s="21">
        <f t="shared" si="102"/>
        <v>-27.933333333333334</v>
      </c>
      <c r="E76" s="6">
        <f t="shared" si="103"/>
        <v>5.77350269189634E-2</v>
      </c>
      <c r="V76" s="6"/>
      <c r="AA76" s="6">
        <f>'IRMS data'!$E151</f>
        <v>-27.9</v>
      </c>
      <c r="AB76" s="6">
        <f>'IRMS data'!$E158</f>
        <v>-28</v>
      </c>
      <c r="AC76" s="6">
        <f>'IRMS data'!$E165</f>
        <v>-27.9</v>
      </c>
      <c r="AK76" s="17"/>
      <c r="AL76" s="28">
        <f>'peak area'!D83</f>
        <v>6.4333333333333327</v>
      </c>
      <c r="AM76" s="6">
        <f>'peak area'!E83</f>
        <v>0.56862407030773288</v>
      </c>
      <c r="AN76" s="21">
        <v>6.333333333333333</v>
      </c>
      <c r="AO76" s="21">
        <v>-28.024385964912277</v>
      </c>
      <c r="AP76" s="23">
        <v>5.9409814939676661E-2</v>
      </c>
      <c r="AQ76" s="6">
        <f t="shared" si="77"/>
        <v>283.32415415095653</v>
      </c>
      <c r="AR76" s="15"/>
      <c r="AS76" s="6"/>
      <c r="AT76" s="16"/>
      <c r="AU76" s="16"/>
    </row>
    <row r="77" spans="1:47" ht="12.75" customHeight="1">
      <c r="C77" s="2">
        <f t="shared" si="104"/>
        <v>250</v>
      </c>
      <c r="D77" s="21">
        <f t="shared" si="102"/>
        <v>-27.666666666666668</v>
      </c>
      <c r="E77" s="6">
        <f t="shared" si="103"/>
        <v>0.11547005383792475</v>
      </c>
      <c r="V77" s="6"/>
      <c r="AA77" s="6">
        <f>'IRMS data'!$E152</f>
        <v>-27.6</v>
      </c>
      <c r="AB77" s="6">
        <f>'IRMS data'!$E159</f>
        <v>-27.6</v>
      </c>
      <c r="AC77" s="6">
        <f>'IRMS data'!$E166</f>
        <v>-27.8</v>
      </c>
      <c r="AK77" s="17"/>
      <c r="AL77" s="28">
        <f>'peak area'!D84</f>
        <v>3.4333333333333336</v>
      </c>
      <c r="AM77" s="6">
        <f>'peak area'!E84</f>
        <v>0.28867513459481292</v>
      </c>
      <c r="AN77" s="21">
        <v>3.2833333333333337</v>
      </c>
      <c r="AO77" s="21">
        <v>-27.893570219966158</v>
      </c>
      <c r="AP77" s="23">
        <v>0.12272290385664987</v>
      </c>
      <c r="AQ77" s="6">
        <f t="shared" si="77"/>
        <v>66.397045391306065</v>
      </c>
      <c r="AR77" s="15"/>
      <c r="AS77" s="6"/>
      <c r="AT77" s="16"/>
      <c r="AU77" s="16"/>
    </row>
    <row r="78" spans="1:47" ht="12.75" customHeight="1">
      <c r="C78" s="2">
        <f t="shared" si="104"/>
        <v>300</v>
      </c>
      <c r="D78" s="21">
        <f t="shared" si="102"/>
        <v>-27.966666666666669</v>
      </c>
      <c r="E78" s="6">
        <f t="shared" si="103"/>
        <v>0.32145502536643106</v>
      </c>
      <c r="V78" s="6"/>
      <c r="AA78" s="6">
        <f>'IRMS data'!$E153</f>
        <v>-28.2</v>
      </c>
      <c r="AB78" s="6">
        <f>'IRMS data'!$E160</f>
        <v>-28.1</v>
      </c>
      <c r="AC78" s="6">
        <f>'IRMS data'!$E167</f>
        <v>-27.6</v>
      </c>
      <c r="AK78" s="17"/>
      <c r="AL78" s="28">
        <f>'peak area'!D85</f>
        <v>3.1333333333333329</v>
      </c>
      <c r="AM78" s="6">
        <f>'peak area'!E85</f>
        <v>0.20816659994661327</v>
      </c>
      <c r="AN78" s="21">
        <v>2.9999999999999996</v>
      </c>
      <c r="AO78" s="21">
        <v>-28.202222222222222</v>
      </c>
      <c r="AP78" s="23">
        <v>0.34723820736866884</v>
      </c>
      <c r="AQ78" s="6">
        <f t="shared" si="77"/>
        <v>8.2936363504704236</v>
      </c>
      <c r="AR78" s="15"/>
      <c r="AS78" s="6"/>
      <c r="AT78" s="16"/>
      <c r="AU78" s="16"/>
    </row>
    <row r="79" spans="1:47" ht="12.75" customHeight="1">
      <c r="C79" s="1">
        <v>340</v>
      </c>
      <c r="D79" s="21">
        <f t="shared" si="102"/>
        <v>-28.066666666666666</v>
      </c>
      <c r="E79" s="6">
        <f t="shared" si="103"/>
        <v>0.30550504633038827</v>
      </c>
      <c r="V79" s="6"/>
      <c r="AA79" s="6">
        <f>'IRMS data'!$E154</f>
        <v>-28.4</v>
      </c>
      <c r="AB79" s="6">
        <f>'IRMS data'!$E161</f>
        <v>-28</v>
      </c>
      <c r="AC79" s="6">
        <f>'IRMS data'!$E168</f>
        <v>-27.8</v>
      </c>
      <c r="AK79" s="17"/>
      <c r="AL79" s="28">
        <f>'peak area'!D86</f>
        <v>3.3000000000000003</v>
      </c>
      <c r="AM79" s="6">
        <f>'peak area'!E86</f>
        <v>0.17320508075688762</v>
      </c>
      <c r="AN79" s="21">
        <v>3.1333333333333337</v>
      </c>
      <c r="AO79" s="21">
        <v>-28.323758865248227</v>
      </c>
      <c r="AP79" s="23">
        <v>0.32552361624916953</v>
      </c>
      <c r="AQ79" s="6">
        <f t="shared" si="77"/>
        <v>9.4370226428803896</v>
      </c>
      <c r="AR79" s="15"/>
      <c r="AS79" s="6"/>
      <c r="AT79" s="16"/>
      <c r="AU79" s="16"/>
    </row>
    <row r="80" spans="1:47" ht="12.75" customHeight="1">
      <c r="C80" s="1">
        <v>390</v>
      </c>
      <c r="D80" s="21">
        <f t="shared" si="102"/>
        <v>-28.166666666666668</v>
      </c>
      <c r="E80" s="6">
        <f t="shared" si="103"/>
        <v>0.20816659994661224</v>
      </c>
      <c r="V80" s="6"/>
      <c r="AA80" s="6">
        <f>'IRMS data'!$E155</f>
        <v>-28.4</v>
      </c>
      <c r="AB80" s="6">
        <f>'IRMS data'!$E162</f>
        <v>-28.1</v>
      </c>
      <c r="AC80" s="6">
        <f>'IRMS data'!$E169</f>
        <v>-28</v>
      </c>
      <c r="AK80" s="17"/>
      <c r="AL80" s="28">
        <f>'peak area'!D87</f>
        <v>3.6666666666666665</v>
      </c>
      <c r="AM80" s="6">
        <f>'peak area'!E87</f>
        <v>0.32145502536643189</v>
      </c>
      <c r="AN80" s="21">
        <v>3.3833333333333333</v>
      </c>
      <c r="AO80" s="21">
        <v>-28.568637110016418</v>
      </c>
      <c r="AP80" s="23">
        <v>0.31351662523128143</v>
      </c>
      <c r="AQ80" s="6">
        <f t="shared" si="77"/>
        <v>10.173698163755278</v>
      </c>
      <c r="AR80" s="15"/>
      <c r="AS80" s="6"/>
      <c r="AT80" s="16"/>
      <c r="AU80" s="16"/>
    </row>
    <row r="81" spans="1:47" ht="12.75" customHeight="1">
      <c r="A81" s="2" t="str">
        <f>CONCATENATE(overview!$C6," ",overview!$D6)</f>
        <v>a-pin, cyclohexane cont flow bag, bottom</v>
      </c>
      <c r="B81" s="1" t="s">
        <v>113</v>
      </c>
      <c r="C81" s="1">
        <v>100</v>
      </c>
      <c r="D81" s="15">
        <f t="shared" ref="D81:D87" si="105">AD81</f>
        <v>-27.6</v>
      </c>
      <c r="E81" s="6">
        <f t="shared" ref="E81:E87" si="106">ABS(AD81/100*5)</f>
        <v>1.3800000000000001</v>
      </c>
      <c r="V81" s="6"/>
      <c r="AD81" s="6">
        <f>'IRMS data'!$E170</f>
        <v>-27.6</v>
      </c>
      <c r="AK81" s="17"/>
      <c r="AL81" s="28">
        <f>'peak area'!D88</f>
        <v>5</v>
      </c>
      <c r="AM81" s="6">
        <f>'peak area'!E88</f>
        <v>0.25</v>
      </c>
      <c r="AN81" s="21">
        <f t="array" ref="AN81:AN87">AL81:AL87-AL$3:AL$9</f>
        <v>4.7666666666666666</v>
      </c>
      <c r="AO81" s="21">
        <f t="array" ref="AO81:AO87">( (AL81:AL87)*(D81:D87)-(AL$3:AL$9)*(D$3:D$9))/(AN81:AN87)</f>
        <v>-27.905128205128207</v>
      </c>
      <c r="AP81" s="23">
        <f t="array" ref="AP81:AP87">SQRT( 1/AN81:AN87^2 * (  ( (D81:D87-D$3:D$9)/AN81:AN87 )^2 * ( (AL$3:AL$9*AM81:AM87)^2 + (AL81:AL87*AM$3:AM$9)^2 ) + (AL81:AL87*E81:E87)^2 + (AL$3:AL$9*E$3:E$9)^2 )  )</f>
        <v>1.4555485854318306</v>
      </c>
      <c r="AQ81" s="6">
        <f t="shared" si="77"/>
        <v>0.47200498668131663</v>
      </c>
      <c r="AR81" s="15">
        <f t="shared" ref="AR81:AS81" si="107">AO81</f>
        <v>-27.905128205128207</v>
      </c>
      <c r="AS81" s="6">
        <f t="shared" si="107"/>
        <v>1.4555485854318306</v>
      </c>
      <c r="AT81" s="15">
        <f t="shared" ref="AT81:AT101" si="108">-34.28 + ( AR81 - -33.86 ) * ( 1+ -34.28/1000 ) / ( 1+ -33.86/1000 )</f>
        <v>-28.327716904647787</v>
      </c>
      <c r="AU81" s="15">
        <f t="shared" ref="AU81:AU101" si="109">AT81--29.96</f>
        <v>1.6322830953522143</v>
      </c>
    </row>
    <row r="82" spans="1:47" ht="12.75" customHeight="1">
      <c r="C82" s="2">
        <f t="shared" ref="C82:C85" si="110">C81+50</f>
        <v>150</v>
      </c>
      <c r="D82" s="15">
        <f t="shared" si="105"/>
        <v>-29.2</v>
      </c>
      <c r="E82" s="6">
        <f t="shared" si="106"/>
        <v>1.46</v>
      </c>
      <c r="V82" s="6"/>
      <c r="AD82" s="6">
        <f>'IRMS data'!$E171</f>
        <v>-29.2</v>
      </c>
      <c r="AK82" s="17"/>
      <c r="AL82" s="28">
        <f>'peak area'!D89</f>
        <v>12.2</v>
      </c>
      <c r="AM82" s="6">
        <f>'peak area'!E89</f>
        <v>0.61</v>
      </c>
      <c r="AN82" s="21">
        <v>11.899999999999999</v>
      </c>
      <c r="AO82" s="21">
        <v>-29.348739495798316</v>
      </c>
      <c r="AP82" s="23">
        <v>1.4974140931601279</v>
      </c>
      <c r="AQ82" s="6">
        <f t="shared" si="77"/>
        <v>0.4459808054267736</v>
      </c>
      <c r="AR82" s="15">
        <f t="shared" ref="AR82:AS82" si="111">AO82</f>
        <v>-29.348739495798316</v>
      </c>
      <c r="AS82" s="6">
        <f t="shared" si="111"/>
        <v>1.4974140931601279</v>
      </c>
      <c r="AT82" s="15">
        <f t="shared" si="108"/>
        <v>-29.77070062918661</v>
      </c>
      <c r="AU82" s="15">
        <f t="shared" si="109"/>
        <v>0.18929937081339077</v>
      </c>
    </row>
    <row r="83" spans="1:47" ht="12.75" customHeight="1">
      <c r="C83" s="2">
        <f t="shared" si="110"/>
        <v>200</v>
      </c>
      <c r="D83" s="15">
        <f t="shared" si="105"/>
        <v>-29.1</v>
      </c>
      <c r="E83" s="6">
        <f t="shared" si="106"/>
        <v>1.4550000000000001</v>
      </c>
      <c r="V83" s="6"/>
      <c r="AD83" s="6">
        <f>'IRMS data'!$E172</f>
        <v>-29.1</v>
      </c>
      <c r="AK83" s="17"/>
      <c r="AL83" s="28">
        <f>'peak area'!D90</f>
        <v>6.1</v>
      </c>
      <c r="AM83" s="6">
        <f>'peak area'!E90</f>
        <v>0.30499999999999999</v>
      </c>
      <c r="AN83" s="21">
        <v>5.833333333333333</v>
      </c>
      <c r="AO83" s="21">
        <v>-29.421523809523809</v>
      </c>
      <c r="AP83" s="23">
        <v>1.5261183023860996</v>
      </c>
      <c r="AQ83" s="6">
        <f t="shared" si="77"/>
        <v>0.42936199326546959</v>
      </c>
      <c r="AR83" s="15">
        <f t="shared" ref="AR83:AS83" si="112">AO83</f>
        <v>-29.421523809523809</v>
      </c>
      <c r="AS83" s="6">
        <f t="shared" si="112"/>
        <v>1.5261183023860996</v>
      </c>
      <c r="AT83" s="15">
        <f t="shared" si="108"/>
        <v>-29.843453302143928</v>
      </c>
      <c r="AU83" s="15">
        <f t="shared" si="109"/>
        <v>0.11654669785607297</v>
      </c>
    </row>
    <row r="84" spans="1:47" ht="12.75" customHeight="1">
      <c r="C84" s="2">
        <f t="shared" si="110"/>
        <v>250</v>
      </c>
      <c r="D84" s="15">
        <f t="shared" si="105"/>
        <v>-29.5</v>
      </c>
      <c r="E84" s="6">
        <f t="shared" si="106"/>
        <v>1.4749999999999999</v>
      </c>
      <c r="V84" s="6"/>
      <c r="AD84" s="6">
        <f>'IRMS data'!$E173</f>
        <v>-29.5</v>
      </c>
      <c r="AK84" s="17"/>
      <c r="AL84" s="28">
        <f>'peak area'!D91</f>
        <v>5.4</v>
      </c>
      <c r="AM84" s="6">
        <f>'peak area'!E91</f>
        <v>0.27</v>
      </c>
      <c r="AN84" s="21">
        <v>4.9666666666666668</v>
      </c>
      <c r="AO84" s="21">
        <v>-29.982774049217003</v>
      </c>
      <c r="AP84" s="23">
        <v>1.6054615505523633</v>
      </c>
      <c r="AQ84" s="6">
        <f t="shared" si="77"/>
        <v>0.38797181980763396</v>
      </c>
      <c r="AR84" s="15">
        <f t="shared" ref="AR84:AS84" si="113">AO84</f>
        <v>-29.982774049217003</v>
      </c>
      <c r="AS84" s="6">
        <f t="shared" si="113"/>
        <v>1.6054615505523633</v>
      </c>
      <c r="AT84" s="15">
        <f t="shared" si="108"/>
        <v>-30.404459555354137</v>
      </c>
      <c r="AU84" s="15">
        <f t="shared" si="109"/>
        <v>-0.44445955535413617</v>
      </c>
    </row>
    <row r="85" spans="1:47" ht="12.75" customHeight="1">
      <c r="C85" s="2">
        <f t="shared" si="110"/>
        <v>300</v>
      </c>
      <c r="D85" s="15">
        <f t="shared" si="105"/>
        <v>-28.5</v>
      </c>
      <c r="E85" s="6">
        <f t="shared" si="106"/>
        <v>1.4249999999999998</v>
      </c>
      <c r="V85" s="6"/>
      <c r="AD85" s="6">
        <f>'IRMS data'!$E174</f>
        <v>-28.5</v>
      </c>
      <c r="AK85" s="17"/>
      <c r="AL85" s="28">
        <f>'peak area'!D92</f>
        <v>5.8</v>
      </c>
      <c r="AM85" s="6">
        <f>'peak area'!E92</f>
        <v>0.28999999999999998</v>
      </c>
      <c r="AN85" s="21">
        <v>5.4666666666666668</v>
      </c>
      <c r="AO85" s="21">
        <v>-28.739837398373979</v>
      </c>
      <c r="AP85" s="23">
        <v>1.5132536584964167</v>
      </c>
      <c r="AQ85" s="6">
        <f t="shared" si="77"/>
        <v>0.43669330615369467</v>
      </c>
      <c r="AR85" s="15">
        <f t="shared" ref="AR85:AS85" si="114">AO85</f>
        <v>-28.739837398373979</v>
      </c>
      <c r="AS85" s="6">
        <f t="shared" si="114"/>
        <v>1.5132536584964167</v>
      </c>
      <c r="AT85" s="15">
        <f t="shared" si="108"/>
        <v>-29.162063233442069</v>
      </c>
      <c r="AU85" s="15">
        <f t="shared" si="109"/>
        <v>0.79793676655793178</v>
      </c>
    </row>
    <row r="86" spans="1:47" ht="12.75" customHeight="1">
      <c r="C86" s="1">
        <v>340</v>
      </c>
      <c r="D86" s="15">
        <f t="shared" si="105"/>
        <v>-28.5</v>
      </c>
      <c r="E86" s="6">
        <f t="shared" si="106"/>
        <v>1.4249999999999998</v>
      </c>
      <c r="V86" s="6"/>
      <c r="AD86" s="6">
        <f>'IRMS data'!$E175</f>
        <v>-28.5</v>
      </c>
      <c r="AK86" s="17"/>
      <c r="AL86" s="28">
        <f>'peak area'!D93</f>
        <v>6.8</v>
      </c>
      <c r="AM86" s="6">
        <f>'peak area'!E93</f>
        <v>0.34</v>
      </c>
      <c r="AN86" s="21">
        <v>6.3666666666666663</v>
      </c>
      <c r="AO86" s="21">
        <v>-28.788132635253053</v>
      </c>
      <c r="AP86" s="23">
        <v>1.5249958308883254</v>
      </c>
      <c r="AQ86" s="6">
        <f t="shared" si="77"/>
        <v>0.42999428872232798</v>
      </c>
      <c r="AR86" s="15">
        <f t="shared" ref="AR86:AS86" si="115">AO86</f>
        <v>-28.788132635253053</v>
      </c>
      <c r="AS86" s="6">
        <f t="shared" si="115"/>
        <v>1.5249958308883254</v>
      </c>
      <c r="AT86" s="15">
        <f t="shared" si="108"/>
        <v>-29.210337475434802</v>
      </c>
      <c r="AU86" s="15">
        <f t="shared" si="109"/>
        <v>0.74966252456519911</v>
      </c>
    </row>
    <row r="87" spans="1:47" ht="12.75" customHeight="1">
      <c r="C87" s="1">
        <v>390</v>
      </c>
      <c r="D87" s="15">
        <f t="shared" si="105"/>
        <v>-29.1</v>
      </c>
      <c r="E87" s="6">
        <f t="shared" si="106"/>
        <v>1.4550000000000001</v>
      </c>
      <c r="V87" s="6"/>
      <c r="AD87" s="6">
        <f>'IRMS data'!$E176</f>
        <v>-29.1</v>
      </c>
      <c r="AK87" s="17"/>
      <c r="AL87" s="28">
        <f>'peak area'!D94</f>
        <v>8.1999999999999993</v>
      </c>
      <c r="AM87" s="6">
        <f>'peak area'!E94</f>
        <v>0.40999999999999992</v>
      </c>
      <c r="AN87" s="21">
        <v>7.5666666666666664</v>
      </c>
      <c r="AO87" s="21">
        <v>-29.384581497797356</v>
      </c>
      <c r="AP87" s="23">
        <v>1.5843309085342105</v>
      </c>
      <c r="AQ87" s="6">
        <f t="shared" si="77"/>
        <v>0.39838979962344473</v>
      </c>
      <c r="AR87" s="15">
        <f t="shared" ref="AR87:AS87" si="116">AO87</f>
        <v>-29.384581497797356</v>
      </c>
      <c r="AS87" s="6">
        <f t="shared" si="116"/>
        <v>1.5843309085342105</v>
      </c>
      <c r="AT87" s="15">
        <f t="shared" si="108"/>
        <v>-29.806527049964668</v>
      </c>
      <c r="AU87" s="15">
        <f t="shared" si="109"/>
        <v>0.1534729500353329</v>
      </c>
    </row>
    <row r="88" spans="1:47" ht="12.75" customHeight="1">
      <c r="A88" s="2" t="str">
        <f>CONCATENATE(overview!$C7," ",overview!$D7)</f>
        <v>a-pin, cyclohexane cont flow bag, top</v>
      </c>
      <c r="B88" s="1" t="s">
        <v>114</v>
      </c>
      <c r="C88" s="1">
        <v>100</v>
      </c>
      <c r="D88" s="21">
        <f t="shared" ref="D88:D94" si="117">AVERAGE(AE88:AG88)</f>
        <v>-26.833333333333332</v>
      </c>
      <c r="E88" s="6">
        <f t="shared" ref="E88:E94" si="118">STDEV(AE88:AG88)</f>
        <v>0.47258156262526019</v>
      </c>
      <c r="V88" s="6"/>
      <c r="AE88" s="6">
        <f>'IRMS data'!$E2</f>
        <v>-26.3</v>
      </c>
      <c r="AF88" s="6">
        <f>'IRMS data'!$E9</f>
        <v>-27</v>
      </c>
      <c r="AG88" s="6">
        <f>'IRMS data'!$E191</f>
        <v>-27.2</v>
      </c>
      <c r="AK88" s="17"/>
      <c r="AL88" s="28">
        <f>'peak area'!D95</f>
        <v>3.9333333333333336</v>
      </c>
      <c r="AM88" s="6">
        <f>'peak area'!E95</f>
        <v>1.0785793124908978</v>
      </c>
      <c r="AN88" s="21">
        <f t="array" ref="AN88:AN94">AL88:AL94-AL$24:AL$30</f>
        <v>3.7666666666666671</v>
      </c>
      <c r="AO88" s="21">
        <f t="array" ref="AO88:AO94">( (AL88:AL94)*(D88:D94)-(AL$24:AL$30)*(D$24:D$30))/(AN88:AN94)</f>
        <v>-27.147492625368731</v>
      </c>
      <c r="AP88" s="23">
        <f t="array" ref="AP88:AP94">SQRT( 1/AN88:AN94^2 * (  ( (D88:D94-D$24:D$30)/AN88:AN94 )^2 * ( (AL$24:AL$30*AM88:AM94)^2 + (AL88:AL94*AM$24:AM$30)^2 ) + (AL88:AL94*E88:E94)^2 + (AL$24:AL$30*E$24:E$30)^2 )  )</f>
        <v>0.51586322354089331</v>
      </c>
      <c r="AQ88" s="6">
        <f t="shared" si="77"/>
        <v>3.7577757953858302</v>
      </c>
      <c r="AR88" s="15">
        <f t="shared" ref="AR88:AS88" si="119">AO88</f>
        <v>-27.147492625368731</v>
      </c>
      <c r="AS88" s="6">
        <f t="shared" si="119"/>
        <v>0.51586322354089331</v>
      </c>
      <c r="AT88" s="15">
        <f t="shared" si="108"/>
        <v>-27.570410683928927</v>
      </c>
      <c r="AU88" s="15">
        <f t="shared" si="109"/>
        <v>2.3895893160710742</v>
      </c>
    </row>
    <row r="89" spans="1:47" ht="12.75" customHeight="1">
      <c r="C89" s="2">
        <f t="shared" ref="C89:C92" si="120">C88+50</f>
        <v>150</v>
      </c>
      <c r="D89" s="21">
        <f t="shared" si="117"/>
        <v>-28.900000000000002</v>
      </c>
      <c r="E89" s="6">
        <f t="shared" si="118"/>
        <v>9.9999999999999645E-2</v>
      </c>
      <c r="V89" s="6"/>
      <c r="AE89" s="6">
        <f>'IRMS data'!$E3</f>
        <v>-29</v>
      </c>
      <c r="AF89" s="6">
        <f>'IRMS data'!$E10</f>
        <v>-28.9</v>
      </c>
      <c r="AG89" s="6">
        <f>'IRMS data'!$E192</f>
        <v>-28.8</v>
      </c>
      <c r="AK89" s="17"/>
      <c r="AL89" s="28">
        <f>'peak area'!D96</f>
        <v>17.366666666666664</v>
      </c>
      <c r="AM89" s="6">
        <f>'peak area'!E96</f>
        <v>1.9857828011475309</v>
      </c>
      <c r="AN89" s="21">
        <v>17.166666666666664</v>
      </c>
      <c r="AO89" s="21">
        <v>-28.990873786407764</v>
      </c>
      <c r="AP89" s="23">
        <v>0.10171640006251652</v>
      </c>
      <c r="AQ89" s="6">
        <f t="shared" si="77"/>
        <v>96.653600643527398</v>
      </c>
      <c r="AR89" s="15">
        <f t="shared" ref="AR89:AS89" si="121">AO89</f>
        <v>-28.990873786407764</v>
      </c>
      <c r="AS89" s="6">
        <f t="shared" si="121"/>
        <v>0.10171640006251652</v>
      </c>
      <c r="AT89" s="15">
        <f t="shared" si="108"/>
        <v>-29.412990491036194</v>
      </c>
      <c r="AU89" s="15">
        <f t="shared" si="109"/>
        <v>0.54700950896380718</v>
      </c>
    </row>
    <row r="90" spans="1:47" ht="12.75" customHeight="1">
      <c r="C90" s="2">
        <f t="shared" si="120"/>
        <v>200</v>
      </c>
      <c r="D90" s="21">
        <f t="shared" si="117"/>
        <v>-28.666666666666668</v>
      </c>
      <c r="E90" s="6">
        <f t="shared" si="118"/>
        <v>0.23094010767585152</v>
      </c>
      <c r="V90" s="6"/>
      <c r="AE90" s="6">
        <f>'IRMS data'!$E4</f>
        <v>-28.8</v>
      </c>
      <c r="AF90" s="6">
        <f>'IRMS data'!$E11</f>
        <v>-28.8</v>
      </c>
      <c r="AG90" s="6">
        <f>'IRMS data'!$E193</f>
        <v>-28.4</v>
      </c>
      <c r="AK90" s="17"/>
      <c r="AL90" s="28">
        <f>'peak area'!D97</f>
        <v>7.6000000000000005</v>
      </c>
      <c r="AM90" s="6">
        <f>'peak area'!E97</f>
        <v>0.26457513110645914</v>
      </c>
      <c r="AN90" s="21">
        <v>7.4</v>
      </c>
      <c r="AO90" s="21">
        <v>-28.842342342342345</v>
      </c>
      <c r="AP90" s="23">
        <v>0.23740851156548645</v>
      </c>
      <c r="AQ90" s="6">
        <f t="shared" si="77"/>
        <v>17.742198325921699</v>
      </c>
      <c r="AR90" s="15">
        <f t="shared" ref="AR90:AS90" si="122">AO90</f>
        <v>-28.842342342342345</v>
      </c>
      <c r="AS90" s="6">
        <f t="shared" si="122"/>
        <v>0.23740851156548645</v>
      </c>
      <c r="AT90" s="15">
        <f t="shared" si="108"/>
        <v>-29.264523616501595</v>
      </c>
      <c r="AU90" s="15">
        <f t="shared" si="109"/>
        <v>0.69547638349840568</v>
      </c>
    </row>
    <row r="91" spans="1:47" ht="12.75" customHeight="1">
      <c r="C91" s="2">
        <f t="shared" si="120"/>
        <v>250</v>
      </c>
      <c r="D91" s="21">
        <f t="shared" si="117"/>
        <v>-28.266666666666666</v>
      </c>
      <c r="E91" s="6">
        <f t="shared" si="118"/>
        <v>0.30550504633039016</v>
      </c>
      <c r="V91" s="6"/>
      <c r="AE91" s="6">
        <f>'IRMS data'!$E5</f>
        <v>-28</v>
      </c>
      <c r="AF91" s="6">
        <f>'IRMS data'!$E12</f>
        <v>-28.6</v>
      </c>
      <c r="AG91" s="6">
        <f>'IRMS data'!$E194</f>
        <v>-28.2</v>
      </c>
      <c r="AK91" s="17"/>
      <c r="AL91" s="28">
        <f>'peak area'!D98</f>
        <v>4.333333333333333</v>
      </c>
      <c r="AM91" s="6">
        <f>'peak area'!E98</f>
        <v>0.23094010767584999</v>
      </c>
      <c r="AN91" s="21">
        <v>4.0333333333333332</v>
      </c>
      <c r="AO91" s="21">
        <v>-28.680716253443524</v>
      </c>
      <c r="AP91" s="23">
        <v>0.32941969539889604</v>
      </c>
      <c r="AQ91" s="6">
        <f t="shared" si="77"/>
        <v>9.215117505378398</v>
      </c>
      <c r="AR91" s="15">
        <f t="shared" ref="AR91:AS91" si="123">AO91</f>
        <v>-28.680716253443524</v>
      </c>
      <c r="AS91" s="6">
        <f t="shared" si="123"/>
        <v>0.32941969539889604</v>
      </c>
      <c r="AT91" s="15">
        <f t="shared" si="108"/>
        <v>-29.102967789632437</v>
      </c>
      <c r="AU91" s="15">
        <f t="shared" si="109"/>
        <v>0.85703221036756361</v>
      </c>
    </row>
    <row r="92" spans="1:47" ht="12.75" customHeight="1">
      <c r="C92" s="2">
        <f t="shared" si="120"/>
        <v>300</v>
      </c>
      <c r="D92" s="21">
        <f t="shared" si="117"/>
        <v>-28.533333333333331</v>
      </c>
      <c r="E92" s="6">
        <f t="shared" si="118"/>
        <v>0.15275252316519491</v>
      </c>
      <c r="V92" s="6"/>
      <c r="AE92" s="6">
        <f>'IRMS data'!$E6</f>
        <v>-28.7</v>
      </c>
      <c r="AF92" s="6">
        <f>'IRMS data'!$E13</f>
        <v>-28.5</v>
      </c>
      <c r="AG92" s="6">
        <f>'IRMS data'!$E195</f>
        <v>-28.4</v>
      </c>
      <c r="AK92" s="17"/>
      <c r="AL92" s="28">
        <f>'peak area'!D99</f>
        <v>4.0333333333333332</v>
      </c>
      <c r="AM92" s="6">
        <f>'peak area'!E99</f>
        <v>0.20816659994661341</v>
      </c>
      <c r="AN92" s="21">
        <v>3.7666666666666666</v>
      </c>
      <c r="AO92" s="21">
        <v>-28.94867256637168</v>
      </c>
      <c r="AP92" s="23">
        <v>0.22045084793849312</v>
      </c>
      <c r="AQ92" s="6">
        <f t="shared" si="77"/>
        <v>20.576734442964099</v>
      </c>
      <c r="AR92" s="15">
        <f t="shared" ref="AR92:AS92" si="124">AO92</f>
        <v>-28.94867256637168</v>
      </c>
      <c r="AS92" s="6">
        <f t="shared" si="124"/>
        <v>0.22045084793849312</v>
      </c>
      <c r="AT92" s="15">
        <f t="shared" si="108"/>
        <v>-29.370807616697849</v>
      </c>
      <c r="AU92" s="15">
        <f t="shared" si="109"/>
        <v>0.58919238330215151</v>
      </c>
    </row>
    <row r="93" spans="1:47" ht="12.75" customHeight="1">
      <c r="C93" s="1">
        <v>340</v>
      </c>
      <c r="D93" s="21">
        <f t="shared" si="117"/>
        <v>-28.733333333333334</v>
      </c>
      <c r="E93" s="6">
        <f t="shared" si="118"/>
        <v>5.77350269189634E-2</v>
      </c>
      <c r="V93" s="6"/>
      <c r="AE93" s="6">
        <f>'IRMS data'!$E7</f>
        <v>-28.8</v>
      </c>
      <c r="AF93" s="6">
        <f>'IRMS data'!$E14</f>
        <v>-28.7</v>
      </c>
      <c r="AG93" s="6">
        <f>'IRMS data'!$E196</f>
        <v>-28.7</v>
      </c>
      <c r="AK93" s="17"/>
      <c r="AL93" s="28">
        <f>'peak area'!D100</f>
        <v>4.3</v>
      </c>
      <c r="AM93" s="6">
        <f>'peak area'!E100</f>
        <v>0.26457513110645897</v>
      </c>
      <c r="AN93" s="21">
        <v>3.9666666666666663</v>
      </c>
      <c r="AO93" s="21">
        <v>-29.195518207282916</v>
      </c>
      <c r="AP93" s="23">
        <v>0.11176913328641032</v>
      </c>
      <c r="AQ93" s="6">
        <f t="shared" si="77"/>
        <v>80.049059471147729</v>
      </c>
      <c r="AR93" s="15">
        <f t="shared" ref="AR93:AS93" si="125">AO93</f>
        <v>-29.195518207282916</v>
      </c>
      <c r="AS93" s="6">
        <f t="shared" si="125"/>
        <v>0.11176913328641032</v>
      </c>
      <c r="AT93" s="15">
        <f t="shared" si="108"/>
        <v>-29.617545948969362</v>
      </c>
      <c r="AU93" s="15">
        <f t="shared" si="109"/>
        <v>0.34245405103063931</v>
      </c>
    </row>
    <row r="94" spans="1:47" ht="12.75" customHeight="1">
      <c r="C94" s="1">
        <v>390</v>
      </c>
      <c r="D94" s="21">
        <f t="shared" si="117"/>
        <v>-28.599999999999998</v>
      </c>
      <c r="E94" s="6">
        <f t="shared" si="118"/>
        <v>0.26457513110645881</v>
      </c>
      <c r="V94" s="6"/>
      <c r="AE94" s="6">
        <f>'IRMS data'!$E8</f>
        <v>-28.9</v>
      </c>
      <c r="AF94" s="6">
        <f>'IRMS data'!$E15</f>
        <v>-28.4</v>
      </c>
      <c r="AG94" s="6">
        <f>'IRMS data'!$E197</f>
        <v>-28.5</v>
      </c>
      <c r="AK94" s="17"/>
      <c r="AL94" s="28">
        <f>'peak area'!D101</f>
        <v>4.8666666666666663</v>
      </c>
      <c r="AM94" s="6">
        <f>'peak area'!E101</f>
        <v>0.37859388972001823</v>
      </c>
      <c r="AN94" s="21">
        <v>4.3</v>
      </c>
      <c r="AO94" s="21">
        <v>-29.289664082687334</v>
      </c>
      <c r="AP94" s="23">
        <v>0.48434407884825859</v>
      </c>
      <c r="AQ94" s="6">
        <f t="shared" si="77"/>
        <v>4.2627710765429292</v>
      </c>
      <c r="AR94" s="15">
        <f t="shared" ref="AR94:AS94" si="126">AO94</f>
        <v>-29.289664082687334</v>
      </c>
      <c r="AS94" s="6">
        <f t="shared" si="126"/>
        <v>0.48434407884825859</v>
      </c>
      <c r="AT94" s="15">
        <f t="shared" si="108"/>
        <v>-29.711650897315931</v>
      </c>
      <c r="AU94" s="15">
        <f t="shared" si="109"/>
        <v>0.24834910268407029</v>
      </c>
    </row>
    <row r="95" spans="1:47" ht="12.75" customHeight="1">
      <c r="A95" s="2" t="str">
        <f>CONCATENATE(overview!$C9," ",overview!$D9)</f>
        <v>a-pin, cyclohexane cont flow bag, top</v>
      </c>
      <c r="B95" s="1" t="s">
        <v>115</v>
      </c>
      <c r="C95" s="1">
        <v>100</v>
      </c>
      <c r="D95" s="21">
        <f t="shared" ref="D95:D101" si="127">AVERAGE(AH95:AJ95)</f>
        <v>-27.533333333333331</v>
      </c>
      <c r="E95" s="6">
        <f t="shared" ref="E95:E101" si="128">STDEV(AH95:AJ95)</f>
        <v>0.25166114784235838</v>
      </c>
      <c r="V95" s="6"/>
      <c r="AH95" s="6">
        <f>'IRMS data'!$E198</f>
        <v>-27.5</v>
      </c>
      <c r="AI95" s="6">
        <f>'IRMS data'!$E205</f>
        <v>-27.3</v>
      </c>
      <c r="AJ95" s="6">
        <f>'IRMS data'!$E212</f>
        <v>-27.8</v>
      </c>
      <c r="AK95" s="17"/>
      <c r="AL95" s="28">
        <f>'peak area'!D102</f>
        <v>2.1</v>
      </c>
      <c r="AM95" s="6">
        <f>'peak area'!E102</f>
        <v>0.17320508075688762</v>
      </c>
      <c r="AN95" s="21">
        <f t="array" ref="AN95:AN101">AL95:AL101 - 0.5*(AL$24:AL$30)</f>
        <v>2.0166666666666666</v>
      </c>
      <c r="AO95" s="21">
        <f t="array" ref="AO95:AO101">( (AL95:AL101)*(D95:D101)- 0.5*(AL$24:AL$30)*(D$24:D$30))/(AN95:AN101)</f>
        <v>-27.855647382920111</v>
      </c>
      <c r="AP95" s="23">
        <f t="array" ref="AP95:AP101">SQRT( 1/AN95:AN101^2 * (  ( (D95:D101-D$24:D$30)/AN95:AN101 )^2 * ( (0.5*(AL$24:AL$30)*AM95:AM101)^2 + (AL95:AL101*0.5*(AM$24:AM$30))^2 ) + (AL95:AL101*E95:E101)^2 + (0.5*(AL$24:AL$30)*E$24:E$30)^2 )  )</f>
        <v>0.29039904283435819</v>
      </c>
      <c r="AQ95" s="6">
        <f t="shared" si="77"/>
        <v>11.857950657050242</v>
      </c>
      <c r="AR95" s="15">
        <f t="shared" ref="AR95:AS95" si="129">AO95</f>
        <v>-27.855647382920111</v>
      </c>
      <c r="AS95" s="6">
        <f t="shared" si="129"/>
        <v>0.29039904283435819</v>
      </c>
      <c r="AT95" s="15">
        <f t="shared" si="108"/>
        <v>-28.278257592723218</v>
      </c>
      <c r="AU95" s="15">
        <f t="shared" si="109"/>
        <v>1.6817424072767828</v>
      </c>
    </row>
    <row r="96" spans="1:47" ht="12.75" customHeight="1">
      <c r="C96" s="2">
        <f t="shared" ref="C96:C99" si="130">C95+50</f>
        <v>150</v>
      </c>
      <c r="D96" s="21">
        <f t="shared" si="127"/>
        <v>-28.5</v>
      </c>
      <c r="E96" s="6">
        <f t="shared" si="128"/>
        <v>0.10000000000000142</v>
      </c>
      <c r="V96" s="6"/>
      <c r="AH96" s="6">
        <f>'IRMS data'!$E199</f>
        <v>-28.6</v>
      </c>
      <c r="AI96" s="6">
        <f>'IRMS data'!$E206</f>
        <v>-28.5</v>
      </c>
      <c r="AJ96" s="6">
        <f>'IRMS data'!$E213</f>
        <v>-28.4</v>
      </c>
      <c r="AK96" s="17"/>
      <c r="AL96" s="28">
        <f>'peak area'!D103</f>
        <v>11.233333333333334</v>
      </c>
      <c r="AM96" s="6">
        <f>'peak area'!E103</f>
        <v>1.8009256878986657</v>
      </c>
      <c r="AN96" s="21">
        <v>11.133333333333335</v>
      </c>
      <c r="AO96" s="21">
        <v>-28.566467065868263</v>
      </c>
      <c r="AP96" s="23">
        <v>0.10147341171174856</v>
      </c>
      <c r="AQ96" s="6">
        <f t="shared" si="77"/>
        <v>97.11704851742293</v>
      </c>
      <c r="AR96" s="15">
        <f t="shared" ref="AR96:AS96" si="131">AO96</f>
        <v>-28.566467065868263</v>
      </c>
      <c r="AS96" s="6">
        <f t="shared" si="131"/>
        <v>0.10147341171174856</v>
      </c>
      <c r="AT96" s="15">
        <f t="shared" si="108"/>
        <v>-28.988768268418966</v>
      </c>
      <c r="AU96" s="15">
        <f t="shared" si="109"/>
        <v>0.97123173158103526</v>
      </c>
    </row>
    <row r="97" spans="3:47" ht="12.75" customHeight="1">
      <c r="C97" s="2">
        <f t="shared" si="130"/>
        <v>200</v>
      </c>
      <c r="D97" s="21">
        <f t="shared" si="127"/>
        <v>-28.5</v>
      </c>
      <c r="E97" s="6">
        <f t="shared" si="128"/>
        <v>0.10000000000000142</v>
      </c>
      <c r="V97" s="6"/>
      <c r="AH97" s="6">
        <f>'IRMS data'!$E200</f>
        <v>-28.5</v>
      </c>
      <c r="AI97" s="6">
        <f>'IRMS data'!$E207</f>
        <v>-28.4</v>
      </c>
      <c r="AJ97" s="6">
        <f>'IRMS data'!$E214</f>
        <v>-28.6</v>
      </c>
      <c r="AK97" s="17"/>
      <c r="AL97" s="28">
        <f>'peak area'!D104</f>
        <v>5.3</v>
      </c>
      <c r="AM97" s="6">
        <f>'peak area'!E104</f>
        <v>0.81853527718724606</v>
      </c>
      <c r="AN97" s="21">
        <v>5.2</v>
      </c>
      <c r="AO97" s="21">
        <v>-28.621794871794869</v>
      </c>
      <c r="AP97" s="23">
        <v>0.10387679518851672</v>
      </c>
      <c r="AQ97" s="6">
        <f t="shared" si="77"/>
        <v>92.675068438203681</v>
      </c>
      <c r="AR97" s="15">
        <f t="shared" ref="AR97:AS97" si="132">AO97</f>
        <v>-28.621794871794869</v>
      </c>
      <c r="AS97" s="6">
        <f t="shared" si="132"/>
        <v>0.10387679518851672</v>
      </c>
      <c r="AT97" s="15">
        <f t="shared" si="108"/>
        <v>-29.044072022263588</v>
      </c>
      <c r="AU97" s="15">
        <f t="shared" si="109"/>
        <v>0.91592797773641266</v>
      </c>
    </row>
    <row r="98" spans="3:47" ht="12.75" customHeight="1">
      <c r="C98" s="2">
        <f t="shared" si="130"/>
        <v>250</v>
      </c>
      <c r="D98" s="21">
        <f t="shared" si="127"/>
        <v>-28.3</v>
      </c>
      <c r="E98" s="6">
        <f t="shared" si="128"/>
        <v>0.17320508075688609</v>
      </c>
      <c r="V98" s="6"/>
      <c r="AH98" s="6">
        <f>'IRMS data'!$E201</f>
        <v>-28.4</v>
      </c>
      <c r="AI98" s="6">
        <f>'IRMS data'!$E208</f>
        <v>-28.1</v>
      </c>
      <c r="AJ98" s="6">
        <f>'IRMS data'!$E215</f>
        <v>-28.4</v>
      </c>
      <c r="AK98" s="17"/>
      <c r="AL98" s="28">
        <f>'peak area'!D105</f>
        <v>3</v>
      </c>
      <c r="AM98" s="6">
        <f>'peak area'!E105</f>
        <v>0.43588989435406883</v>
      </c>
      <c r="AN98" s="21">
        <v>2.85</v>
      </c>
      <c r="AO98" s="21">
        <v>-28.594736842105263</v>
      </c>
      <c r="AP98" s="23">
        <v>0.188105935052122</v>
      </c>
      <c r="AQ98" s="6">
        <f t="shared" si="77"/>
        <v>28.261486622594671</v>
      </c>
      <c r="AR98" s="15">
        <f t="shared" ref="AR98:AS98" si="133">AO98</f>
        <v>-28.594736842105263</v>
      </c>
      <c r="AS98" s="6">
        <f t="shared" si="133"/>
        <v>0.188105935052122</v>
      </c>
      <c r="AT98" s="15">
        <f t="shared" si="108"/>
        <v>-29.017025755229984</v>
      </c>
      <c r="AU98" s="15">
        <f t="shared" si="109"/>
        <v>0.94297424477001712</v>
      </c>
    </row>
    <row r="99" spans="3:47" ht="12.75" customHeight="1">
      <c r="C99" s="2">
        <f t="shared" si="130"/>
        <v>300</v>
      </c>
      <c r="D99" s="21">
        <f t="shared" si="127"/>
        <v>-28.266666666666666</v>
      </c>
      <c r="E99" s="6">
        <f t="shared" si="128"/>
        <v>0.23094010767584949</v>
      </c>
      <c r="V99" s="6"/>
      <c r="AH99" s="6">
        <f>'IRMS data'!$E202</f>
        <v>-28.4</v>
      </c>
      <c r="AI99" s="6">
        <f>'IRMS data'!$E209</f>
        <v>-28.4</v>
      </c>
      <c r="AJ99" s="6">
        <f>'IRMS data'!$E216</f>
        <v>-28</v>
      </c>
      <c r="AK99" s="17"/>
      <c r="AL99" s="28">
        <f>'peak area'!D106</f>
        <v>2.6333333333333333</v>
      </c>
      <c r="AM99" s="6">
        <f>'peak area'!E106</f>
        <v>0.37859388972001734</v>
      </c>
      <c r="AN99" s="21">
        <v>2.5</v>
      </c>
      <c r="AO99" s="21">
        <v>-28.565333333333331</v>
      </c>
      <c r="AP99" s="23">
        <v>0.26962011047095485</v>
      </c>
      <c r="AQ99" s="6">
        <f t="shared" si="77"/>
        <v>13.756103519955714</v>
      </c>
      <c r="AR99" s="15">
        <f t="shared" ref="AR99:AS99" si="134">AO99</f>
        <v>-28.565333333333331</v>
      </c>
      <c r="AS99" s="6">
        <f t="shared" si="134"/>
        <v>0.26962011047095485</v>
      </c>
      <c r="AT99" s="15">
        <f t="shared" si="108"/>
        <v>-28.987635028739795</v>
      </c>
      <c r="AU99" s="15">
        <f t="shared" si="109"/>
        <v>0.97236497126020538</v>
      </c>
    </row>
    <row r="100" spans="3:47" ht="12.75" customHeight="1">
      <c r="C100" s="1">
        <v>340</v>
      </c>
      <c r="D100" s="21">
        <f t="shared" si="127"/>
        <v>-28.7</v>
      </c>
      <c r="E100" s="6">
        <f t="shared" si="128"/>
        <v>9.9999999999999645E-2</v>
      </c>
      <c r="V100" s="6"/>
      <c r="AH100" s="6">
        <f>'IRMS data'!$E203</f>
        <v>-28.8</v>
      </c>
      <c r="AI100" s="6">
        <f>'IRMS data'!$E210</f>
        <v>-28.7</v>
      </c>
      <c r="AJ100" s="6">
        <f>'IRMS data'!$E217</f>
        <v>-28.6</v>
      </c>
      <c r="AK100" s="17"/>
      <c r="AL100" s="28">
        <f>'peak area'!D107</f>
        <v>2.6333333333333333</v>
      </c>
      <c r="AM100" s="6">
        <f>'peak area'!E107</f>
        <v>0.37859388972001734</v>
      </c>
      <c r="AN100" s="21">
        <v>2.4666666666666668</v>
      </c>
      <c r="AO100" s="21">
        <v>-29.069369369369369</v>
      </c>
      <c r="AP100" s="23">
        <v>0.13905646525397491</v>
      </c>
      <c r="AQ100" s="6">
        <f t="shared" si="77"/>
        <v>51.715130950282067</v>
      </c>
      <c r="AR100" s="15">
        <f t="shared" ref="AR100:AS100" si="135">AO100</f>
        <v>-29.069369369369369</v>
      </c>
      <c r="AS100" s="6">
        <f t="shared" si="135"/>
        <v>0.13905646525397491</v>
      </c>
      <c r="AT100" s="15">
        <f t="shared" si="108"/>
        <v>-29.49145195042891</v>
      </c>
      <c r="AU100" s="15">
        <f t="shared" si="109"/>
        <v>0.46854804957109053</v>
      </c>
    </row>
    <row r="101" spans="3:47" ht="12.75" customHeight="1">
      <c r="C101" s="1">
        <v>390</v>
      </c>
      <c r="D101" s="21">
        <f t="shared" si="127"/>
        <v>-28.599999999999998</v>
      </c>
      <c r="E101" s="6">
        <f t="shared" si="128"/>
        <v>0.17320508075688815</v>
      </c>
      <c r="V101" s="6"/>
      <c r="AH101" s="6">
        <f>'IRMS data'!$E204</f>
        <v>-28.8</v>
      </c>
      <c r="AI101" s="6">
        <f>'IRMS data'!$E211</f>
        <v>-28.5</v>
      </c>
      <c r="AJ101" s="6">
        <f>'IRMS data'!$E218</f>
        <v>-28.5</v>
      </c>
      <c r="AK101" s="17"/>
      <c r="AL101" s="28">
        <f>'peak area'!D108</f>
        <v>3.0666666666666664</v>
      </c>
      <c r="AM101" s="6">
        <f>'peak area'!E108</f>
        <v>0.40414518843274105</v>
      </c>
      <c r="AN101" s="21">
        <v>2.7833333333333332</v>
      </c>
      <c r="AO101" s="21">
        <v>-29.132734530938119</v>
      </c>
      <c r="AP101" s="23">
        <v>0.35060997592697896</v>
      </c>
      <c r="AQ101" s="6">
        <f t="shared" si="77"/>
        <v>8.1348858292302495</v>
      </c>
      <c r="AR101" s="15">
        <f t="shared" ref="AR101:AS101" si="136">AO101</f>
        <v>-29.132734530938119</v>
      </c>
      <c r="AS101" s="6">
        <f t="shared" si="136"/>
        <v>0.35060997592697896</v>
      </c>
      <c r="AT101" s="15">
        <f t="shared" si="108"/>
        <v>-29.554789565919599</v>
      </c>
      <c r="AU101" s="15">
        <f t="shared" si="109"/>
        <v>0.40521043408040214</v>
      </c>
    </row>
    <row r="102" spans="3:47" ht="12.75" customHeight="1">
      <c r="D102" s="15"/>
      <c r="E102" s="6"/>
      <c r="V102" s="6"/>
      <c r="AK102" s="17"/>
      <c r="AL102" s="28"/>
      <c r="AM102" s="6"/>
      <c r="AN102" s="21"/>
      <c r="AO102" s="21"/>
      <c r="AP102" s="23"/>
      <c r="AR102" s="15"/>
      <c r="AS102" s="6"/>
      <c r="AT102" s="16"/>
      <c r="AU102" s="16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02"/>
  <sheetViews>
    <sheetView tabSelected="1" workbookViewId="0">
      <pane xSplit="5" ySplit="2" topLeftCell="AM3" activePane="bottomRight" state="frozen"/>
      <selection pane="topRight" activeCell="F1" sqref="F1"/>
      <selection pane="bottomLeft" activeCell="A3" sqref="A3"/>
      <selection pane="bottomRight" activeCell="AU15" sqref="AU15"/>
    </sheetView>
  </sheetViews>
  <sheetFormatPr baseColWidth="10" defaultColWidth="14.5" defaultRowHeight="12.75" customHeight="1" x14ac:dyDescent="0"/>
  <cols>
    <col min="1" max="1" width="17.33203125" customWidth="1"/>
    <col min="2" max="2" width="10.1640625" customWidth="1"/>
    <col min="3" max="3" width="11.5" customWidth="1"/>
    <col min="4" max="4" width="9" customWidth="1"/>
    <col min="5" max="5" width="7.6640625" customWidth="1"/>
    <col min="6" max="37" width="17.33203125" customWidth="1"/>
    <col min="38" max="39" width="12.33203125" customWidth="1"/>
    <col min="40" max="40" width="16.33203125" customWidth="1"/>
    <col min="41" max="41" width="17.33203125" customWidth="1"/>
    <col min="42" max="42" width="9.5" customWidth="1"/>
    <col min="43" max="43" width="8.5" customWidth="1"/>
    <col min="44" max="47" width="17.33203125" customWidth="1"/>
  </cols>
  <sheetData>
    <row r="1" spans="1:47" ht="12.75" customHeight="1">
      <c r="A1" s="1" t="s">
        <v>41</v>
      </c>
      <c r="D1" s="16"/>
      <c r="F1" s="2" t="str">
        <f>'IRMS data'!$A58</f>
        <v>20101001_bk_f30_7step</v>
      </c>
      <c r="G1" s="2" t="str">
        <f>'IRMS data'!$A65</f>
        <v>20101001_bk_f30_7step_2</v>
      </c>
      <c r="H1" s="2" t="str">
        <f>'IRMS data'!$A79</f>
        <v>20121002_bk_f30_7step_4</v>
      </c>
      <c r="I1" s="2" t="str">
        <f>'IRMS data'!$A72</f>
        <v>20101002_bk_f30_7step_3</v>
      </c>
      <c r="J1" s="2" t="str">
        <f>'IRMS data'!$A16</f>
        <v>120926_bk_f41_7step_1</v>
      </c>
      <c r="K1" s="2" t="str">
        <f>'IRMS data'!$A23</f>
        <v>120926_bk_f41_7step_2</v>
      </c>
      <c r="L1" s="2" t="str">
        <f>'IRMS data'!$A86</f>
        <v>20121002_bk_f41_7step_3</v>
      </c>
      <c r="M1" s="2" t="str">
        <f>'IRMS data'!$A93</f>
        <v>20121002_bk_f41_7step_4</v>
      </c>
      <c r="N1" s="2" t="str">
        <f>'IRMS data'!$A100</f>
        <v>20121003_bk_f41_7step_5</v>
      </c>
      <c r="O1" s="2" t="str">
        <f>'IRMS data'!$A107</f>
        <v>20121003_bk_f41_7step_6</v>
      </c>
      <c r="P1" s="2" t="str">
        <f>'IRMS data'!$A114</f>
        <v>20121003_bk_f41_7step_7</v>
      </c>
      <c r="Q1" s="2" t="str">
        <f>'IRMS data'!$A30</f>
        <v>120926_bk3_f21_7step_1</v>
      </c>
      <c r="R1" s="2" t="str">
        <f>'IRMS data'!$A37</f>
        <v>120927_bk3_f21_7step_2</v>
      </c>
      <c r="S1" s="2" t="str">
        <f>'IRMS data'!$A121</f>
        <v>20121004_bk3_f21_7step_5</v>
      </c>
      <c r="T1" s="2" t="str">
        <f>'IRMS data'!$A44</f>
        <v>20120927_bk3_f21_7step_3</v>
      </c>
      <c r="U1" s="2" t="str">
        <f>'IRMS data'!$A51</f>
        <v>20120928_bk3_f21_7step_4</v>
      </c>
      <c r="V1" s="2" t="str">
        <f>'IRMS data'!$A128</f>
        <v>20121004_bk3_f21_7step_6</v>
      </c>
      <c r="W1" s="2" t="str">
        <f>'IRMS data'!$A219</f>
        <v>20121005_alpi_f2_7step_1</v>
      </c>
      <c r="X1" s="2" t="str">
        <f>'IRMS data'!$A135</f>
        <v>20121004_alpi_f3_7step_1</v>
      </c>
      <c r="Y1" s="2" t="str">
        <f>'IRMS data'!$A177</f>
        <v>20121004_alpi_f3_7step_2</v>
      </c>
      <c r="Z1" s="2" t="str">
        <f>'IRMS data'!$A142</f>
        <v>20121004_alpi_f4_7step_1</v>
      </c>
      <c r="AA1" s="2" t="str">
        <f>'IRMS data'!$A149</f>
        <v>20121004_alpi_f4_7step_2</v>
      </c>
      <c r="AB1" s="2" t="str">
        <f>'IRMS data'!$A156</f>
        <v>20121004_alpi_f4_7step_3</v>
      </c>
      <c r="AC1" s="2" t="str">
        <f>'IRMS data'!$A163</f>
        <v>20121004_alpi_f4_7step_4</v>
      </c>
      <c r="AD1" s="2" t="str">
        <f>'IRMS data'!$A170</f>
        <v>20121004_alpi_f5_7step_1</v>
      </c>
      <c r="AE1" s="2" t="str">
        <f>'IRMS data'!$A2</f>
        <v>120924_alpi_f6_7step</v>
      </c>
      <c r="AF1" s="2" t="str">
        <f>'IRMS data'!$A9</f>
        <v>120924_alpi_f6_7step_2</v>
      </c>
      <c r="AG1" s="2" t="str">
        <f>'IRMS data'!$A191</f>
        <v>20121005_alpi_f6_7step_3</v>
      </c>
      <c r="AH1" s="2" t="str">
        <f>'IRMS data'!$A198</f>
        <v>20121005_alpi_f8_7step_1</v>
      </c>
      <c r="AI1" s="2" t="str">
        <f>'IRMS data'!$A205</f>
        <v>20121005_alpi_f8_7step_2</v>
      </c>
      <c r="AJ1" s="2" t="str">
        <f>'IRMS data'!$A212</f>
        <v>20121005_alpi_f8_7step_3</v>
      </c>
      <c r="AK1" s="17"/>
      <c r="AL1" s="22"/>
      <c r="AN1" s="21"/>
      <c r="AO1" s="21"/>
      <c r="AP1" s="23"/>
      <c r="AR1" s="15"/>
      <c r="AS1" s="6"/>
      <c r="AT1" s="16"/>
    </row>
    <row r="2" spans="1:47" ht="12.75" customHeight="1">
      <c r="A2" s="1" t="s">
        <v>54</v>
      </c>
      <c r="B2" s="1" t="s">
        <v>66</v>
      </c>
      <c r="C2" s="1" t="s">
        <v>57</v>
      </c>
      <c r="D2" s="24" t="s">
        <v>67</v>
      </c>
      <c r="E2" s="1" t="s">
        <v>59</v>
      </c>
      <c r="AK2" s="17"/>
      <c r="AL2" s="25" t="s">
        <v>58</v>
      </c>
      <c r="AM2" s="1" t="s">
        <v>68</v>
      </c>
      <c r="AN2" s="26" t="s">
        <v>70</v>
      </c>
      <c r="AO2" s="26" t="s">
        <v>71</v>
      </c>
      <c r="AP2" s="27" t="s">
        <v>72</v>
      </c>
      <c r="AQ2" s="1" t="s">
        <v>73</v>
      </c>
      <c r="AR2" s="19" t="s">
        <v>74</v>
      </c>
      <c r="AS2" s="8" t="s">
        <v>75</v>
      </c>
      <c r="AT2" s="24" t="s">
        <v>76</v>
      </c>
      <c r="AU2" s="1" t="s">
        <v>108</v>
      </c>
    </row>
    <row r="3" spans="1:47" ht="12.75" customHeight="1">
      <c r="A3" s="2" t="str">
        <f>CONCATENATE(overview!$C12," ",overview!$D12)</f>
        <v>handling blank backup</v>
      </c>
      <c r="B3" s="1" t="s">
        <v>64</v>
      </c>
      <c r="C3" s="1">
        <v>100</v>
      </c>
      <c r="D3" s="21">
        <f t="shared" ref="D3:D9" si="0">AVERAGE(F3:H3)</f>
        <v>-21.792097763609139</v>
      </c>
      <c r="E3" s="6">
        <f t="shared" ref="E3:E9" si="1">STDEV(F3:H3)</f>
        <v>2.6376657207136325</v>
      </c>
      <c r="F3" s="6">
        <f>'IRMS data'!$G58</f>
        <v>-24.824112447471379</v>
      </c>
      <c r="G3" s="6">
        <f>'IRMS data'!$G65</f>
        <v>-20.525981741776555</v>
      </c>
      <c r="H3" s="6">
        <f>'IRMS data'!$G79</f>
        <v>-20.026199101579483</v>
      </c>
      <c r="AK3" s="17"/>
      <c r="AL3" s="28">
        <f>'peak area'!D3</f>
        <v>0.23333333333333331</v>
      </c>
      <c r="AM3" s="6">
        <f>'peak area'!E3</f>
        <v>5.7735026918962762E-2</v>
      </c>
      <c r="AN3" s="21">
        <f t="shared" ref="AN3:AN51" si="2">AL3</f>
        <v>0.23333333333333331</v>
      </c>
      <c r="AO3" s="21">
        <f t="shared" ref="AO3:AP3" si="3">D3</f>
        <v>-21.792097763609139</v>
      </c>
      <c r="AP3" s="23">
        <f t="shared" si="3"/>
        <v>2.6376657207136325</v>
      </c>
      <c r="AQ3" s="6">
        <f t="shared" ref="AQ3:AQ51" si="4">1/AP3^2</f>
        <v>0.14373432357356311</v>
      </c>
      <c r="AR3" s="15">
        <v>-19.88969282</v>
      </c>
      <c r="AS3" s="6">
        <f t="shared" ref="AS3:AS9" si="5">SQRT( 1/SUM(AQ3,AQ10) )</f>
        <v>0.91972904886595475</v>
      </c>
      <c r="AT3" s="16"/>
    </row>
    <row r="4" spans="1:47" ht="12.75" customHeight="1">
      <c r="C4" s="2">
        <f t="shared" ref="C4:C7" si="6">C3+50</f>
        <v>150</v>
      </c>
      <c r="D4" s="21">
        <f t="shared" si="0"/>
        <v>-23.724590639037825</v>
      </c>
      <c r="E4" s="6">
        <f t="shared" si="1"/>
        <v>1.6636081800896869</v>
      </c>
      <c r="F4" s="6">
        <f>'IRMS data'!$G59</f>
        <v>-24.424286335313724</v>
      </c>
      <c r="G4" s="6">
        <f>'IRMS data'!$G66</f>
        <v>-24.924068975510799</v>
      </c>
      <c r="H4" s="6">
        <f>'IRMS data'!$G80</f>
        <v>-21.825416606288943</v>
      </c>
      <c r="AK4" s="17"/>
      <c r="AL4" s="28">
        <f>'peak area'!D4</f>
        <v>0.3</v>
      </c>
      <c r="AM4" s="6">
        <f>'peak area'!E4</f>
        <v>0</v>
      </c>
      <c r="AN4" s="21">
        <f t="shared" si="2"/>
        <v>0.3</v>
      </c>
      <c r="AO4" s="21">
        <f t="shared" ref="AO4:AP4" si="7">D4</f>
        <v>-23.724590639037825</v>
      </c>
      <c r="AP4" s="23">
        <f t="shared" si="7"/>
        <v>1.6636081800896869</v>
      </c>
      <c r="AQ4" s="6">
        <f t="shared" si="4"/>
        <v>0.36132491208805306</v>
      </c>
      <c r="AR4" s="15">
        <v>-21.564192519999999</v>
      </c>
      <c r="AS4" s="6">
        <f t="shared" si="5"/>
        <v>0.8795974884783927</v>
      </c>
      <c r="AT4" s="16"/>
    </row>
    <row r="5" spans="1:47" ht="12.75" customHeight="1">
      <c r="C5" s="2">
        <f t="shared" si="6"/>
        <v>200</v>
      </c>
      <c r="D5" s="21">
        <f t="shared" si="0"/>
        <v>-22.491793459885042</v>
      </c>
      <c r="E5" s="6">
        <f t="shared" si="1"/>
        <v>2.0099300149261561</v>
      </c>
      <c r="F5" s="6">
        <f>'IRMS data'!$G60</f>
        <v>-24.724155919431968</v>
      </c>
      <c r="G5" s="6">
        <f>'IRMS data'!$G67</f>
        <v>-20.825851325894796</v>
      </c>
      <c r="H5" s="6">
        <f>'IRMS data'!$G81</f>
        <v>-21.92537313432836</v>
      </c>
      <c r="AK5" s="17"/>
      <c r="AL5" s="28">
        <f>'peak area'!D5</f>
        <v>0.26666666666666666</v>
      </c>
      <c r="AM5" s="6">
        <f>'peak area'!E5</f>
        <v>5.7735026918962401E-2</v>
      </c>
      <c r="AN5" s="21">
        <f t="shared" si="2"/>
        <v>0.26666666666666666</v>
      </c>
      <c r="AO5" s="21">
        <f t="shared" ref="AO5:AP5" si="8">D5</f>
        <v>-22.491793459885042</v>
      </c>
      <c r="AP5" s="23">
        <f t="shared" si="8"/>
        <v>2.0099300149261561</v>
      </c>
      <c r="AQ5" s="6">
        <f t="shared" si="4"/>
        <v>0.24753586310401673</v>
      </c>
      <c r="AR5" s="15">
        <v>-21.42135948</v>
      </c>
      <c r="AS5" s="6">
        <f t="shared" si="5"/>
        <v>0.93502797083018707</v>
      </c>
      <c r="AT5" s="16"/>
    </row>
    <row r="6" spans="1:47" ht="12.75" customHeight="1">
      <c r="C6" s="2">
        <f t="shared" si="6"/>
        <v>250</v>
      </c>
      <c r="D6" s="21">
        <f t="shared" si="0"/>
        <v>-24.390967492633919</v>
      </c>
      <c r="E6" s="6">
        <f t="shared" si="1"/>
        <v>0.11541985674163584</v>
      </c>
      <c r="F6" s="6">
        <f>'IRMS data'!$G61</f>
        <v>-24.324329807274307</v>
      </c>
      <c r="G6" s="6">
        <f>'IRMS data'!$G68</f>
        <v>-24.324329807274307</v>
      </c>
      <c r="H6" s="6">
        <f>'IRMS data'!$G82</f>
        <v>-24.524242863353141</v>
      </c>
      <c r="AK6" s="17"/>
      <c r="AL6" s="28">
        <f>'peak area'!D6</f>
        <v>0.43333333333333335</v>
      </c>
      <c r="AM6" s="6">
        <f>'peak area'!E6</f>
        <v>5.7735026918962762E-2</v>
      </c>
      <c r="AN6" s="21">
        <f t="shared" si="2"/>
        <v>0.43333333333333335</v>
      </c>
      <c r="AO6" s="21">
        <f t="shared" ref="AO6:AP6" si="9">D6</f>
        <v>-24.390967492633919</v>
      </c>
      <c r="AP6" s="23">
        <f t="shared" si="9"/>
        <v>0.11541985674163584</v>
      </c>
      <c r="AQ6" s="6">
        <f t="shared" si="4"/>
        <v>75.065250486289216</v>
      </c>
      <c r="AR6" s="15">
        <v>-24.384717909999999</v>
      </c>
      <c r="AS6" s="6">
        <f t="shared" si="5"/>
        <v>0.11487735172965827</v>
      </c>
      <c r="AT6" s="16"/>
    </row>
    <row r="7" spans="1:47" ht="12.75" customHeight="1">
      <c r="C7" s="2">
        <f t="shared" si="6"/>
        <v>300</v>
      </c>
      <c r="D7" s="21">
        <f t="shared" si="0"/>
        <v>-24.990706660870405</v>
      </c>
      <c r="E7" s="6">
        <f t="shared" si="1"/>
        <v>0.73679104277132312</v>
      </c>
      <c r="F7" s="6">
        <f>'IRMS data'!$G62</f>
        <v>-24.724155919431968</v>
      </c>
      <c r="G7" s="6">
        <f>'IRMS data'!$G69</f>
        <v>-24.424286335313724</v>
      </c>
      <c r="H7" s="6">
        <f>'IRMS data'!$G83</f>
        <v>-25.823677727865526</v>
      </c>
      <c r="AK7" s="17"/>
      <c r="AL7" s="28">
        <f>'peak area'!D7</f>
        <v>0.33333333333333331</v>
      </c>
      <c r="AM7" s="6">
        <f>'peak area'!E7</f>
        <v>5.7735026918962762E-2</v>
      </c>
      <c r="AN7" s="21">
        <f t="shared" si="2"/>
        <v>0.33333333333333331</v>
      </c>
      <c r="AO7" s="21">
        <f t="shared" ref="AO7:AP7" si="10">D7</f>
        <v>-24.990706660870405</v>
      </c>
      <c r="AP7" s="23">
        <f t="shared" si="10"/>
        <v>0.73679104277132312</v>
      </c>
      <c r="AQ7" s="6">
        <f t="shared" si="4"/>
        <v>1.842092036473459</v>
      </c>
      <c r="AR7" s="15">
        <v>-24.668025669999999</v>
      </c>
      <c r="AS7" s="6">
        <f t="shared" si="5"/>
        <v>0.62661728638957481</v>
      </c>
      <c r="AT7" s="16"/>
    </row>
    <row r="8" spans="1:47" ht="12.75" customHeight="1">
      <c r="C8" s="1">
        <v>340</v>
      </c>
      <c r="D8" s="21">
        <f t="shared" si="0"/>
        <v>-24.69083707675216</v>
      </c>
      <c r="E8" s="6">
        <f t="shared" si="1"/>
        <v>1.2497897445061996</v>
      </c>
      <c r="F8" s="6">
        <f>'IRMS data'!$G63</f>
        <v>-24.124416751195479</v>
      </c>
      <c r="G8" s="6">
        <f>'IRMS data'!$G70</f>
        <v>-23.824547167077235</v>
      </c>
      <c r="H8" s="6">
        <f>'IRMS data'!$G84</f>
        <v>-26.123547311983771</v>
      </c>
      <c r="AK8" s="17"/>
      <c r="AL8" s="28">
        <f>'peak area'!D8</f>
        <v>0.43333333333333335</v>
      </c>
      <c r="AM8" s="6">
        <f>'peak area'!E8</f>
        <v>5.7735026918962762E-2</v>
      </c>
      <c r="AN8" s="21">
        <f t="shared" si="2"/>
        <v>0.43333333333333335</v>
      </c>
      <c r="AO8" s="21">
        <f t="shared" ref="AO8:AP8" si="11">D8</f>
        <v>-24.69083707675216</v>
      </c>
      <c r="AP8" s="23">
        <f t="shared" si="11"/>
        <v>1.2497897445061996</v>
      </c>
      <c r="AQ8" s="6">
        <f t="shared" si="4"/>
        <v>0.64021535595985668</v>
      </c>
      <c r="AR8" s="15">
        <v>-24.072432410000001</v>
      </c>
      <c r="AS8" s="6">
        <f t="shared" si="5"/>
        <v>0.8565467809066174</v>
      </c>
      <c r="AT8" s="16"/>
    </row>
    <row r="9" spans="1:47" ht="12.75" customHeight="1">
      <c r="C9" s="1">
        <v>390</v>
      </c>
      <c r="D9" s="21">
        <f t="shared" si="0"/>
        <v>-26.123547311983771</v>
      </c>
      <c r="E9" s="6">
        <f t="shared" si="1"/>
        <v>1.708057899875389</v>
      </c>
      <c r="F9" s="6">
        <f>'IRMS data'!$G64</f>
        <v>-25.923634255904943</v>
      </c>
      <c r="G9" s="6">
        <f>'IRMS data'!$G71</f>
        <v>-24.524242863353141</v>
      </c>
      <c r="H9" s="6">
        <f>'IRMS data'!$G85</f>
        <v>-27.922764816693235</v>
      </c>
      <c r="AK9" s="17"/>
      <c r="AL9" s="28">
        <f>'peak area'!D9</f>
        <v>0.6333333333333333</v>
      </c>
      <c r="AM9" s="6">
        <f>'peak area'!E9</f>
        <v>0.11547005383792504</v>
      </c>
      <c r="AN9" s="21">
        <f t="shared" si="2"/>
        <v>0.6333333333333333</v>
      </c>
      <c r="AO9" s="21">
        <f t="shared" ref="AO9:AP9" si="12">D9</f>
        <v>-26.123547311983771</v>
      </c>
      <c r="AP9" s="23">
        <f t="shared" si="12"/>
        <v>1.708057899875389</v>
      </c>
      <c r="AQ9" s="6">
        <f t="shared" si="4"/>
        <v>0.34276370085065433</v>
      </c>
      <c r="AR9" s="15">
        <v>-25.803712449999999</v>
      </c>
      <c r="AS9" s="6">
        <f t="shared" si="5"/>
        <v>1.0249088774452253</v>
      </c>
      <c r="AT9" s="16"/>
    </row>
    <row r="10" spans="1:47" ht="12.75" customHeight="1">
      <c r="B10" s="1" t="s">
        <v>81</v>
      </c>
      <c r="C10" s="1">
        <v>100</v>
      </c>
      <c r="D10" s="15">
        <f t="shared" ref="D10:D16" si="13">I10</f>
        <v>-19.626372989421824</v>
      </c>
      <c r="E10" s="6">
        <f t="shared" ref="E10:E16" si="14">ABS(I10/100*5)</f>
        <v>0.98131864947109126</v>
      </c>
      <c r="I10" s="6">
        <f>'IRMS data'!$G72</f>
        <v>-19.626372989421824</v>
      </c>
      <c r="AK10" s="17"/>
      <c r="AL10" s="28">
        <f>'peak area'!D10</f>
        <v>0.2</v>
      </c>
      <c r="AM10" s="6">
        <f>'peak area'!E10</f>
        <v>0.01</v>
      </c>
      <c r="AN10" s="21">
        <f t="shared" si="2"/>
        <v>0.2</v>
      </c>
      <c r="AO10" s="21">
        <f t="shared" ref="AO10:AP10" si="15">D10</f>
        <v>-19.626372989421824</v>
      </c>
      <c r="AP10" s="23">
        <f t="shared" si="15"/>
        <v>0.98131864947109126</v>
      </c>
      <c r="AQ10" s="6">
        <f t="shared" si="4"/>
        <v>1.0384363811981758</v>
      </c>
      <c r="AR10" s="15"/>
      <c r="AS10" s="6"/>
      <c r="AT10" s="16"/>
    </row>
    <row r="11" spans="1:47" ht="12.75" customHeight="1">
      <c r="C11" s="2">
        <f t="shared" ref="C11:C14" si="16">C10+50</f>
        <v>150</v>
      </c>
      <c r="D11" s="15">
        <f t="shared" si="13"/>
        <v>-20.725894797855386</v>
      </c>
      <c r="E11" s="6">
        <f t="shared" si="14"/>
        <v>1.0362947398927693</v>
      </c>
      <c r="I11" s="6">
        <f>'IRMS data'!$G73</f>
        <v>-20.725894797855386</v>
      </c>
      <c r="AK11" s="17"/>
      <c r="AL11" s="28">
        <f>'peak area'!D11</f>
        <v>0.2</v>
      </c>
      <c r="AM11" s="6">
        <f>'peak area'!E11</f>
        <v>0.01</v>
      </c>
      <c r="AN11" s="21">
        <f t="shared" si="2"/>
        <v>0.2</v>
      </c>
      <c r="AO11" s="21">
        <f t="shared" ref="AO11:AP11" si="17">D11</f>
        <v>-20.725894797855386</v>
      </c>
      <c r="AP11" s="23">
        <f t="shared" si="17"/>
        <v>1.0362947398927693</v>
      </c>
      <c r="AQ11" s="6">
        <f t="shared" si="4"/>
        <v>0.93117951319413805</v>
      </c>
      <c r="AR11" s="15"/>
      <c r="AS11" s="6"/>
      <c r="AT11" s="16"/>
    </row>
    <row r="12" spans="1:47" ht="12.75" customHeight="1">
      <c r="C12" s="2">
        <f t="shared" si="16"/>
        <v>200</v>
      </c>
      <c r="D12" s="15">
        <f t="shared" si="13"/>
        <v>-21.125720910013044</v>
      </c>
      <c r="E12" s="6">
        <f t="shared" si="14"/>
        <v>1.0562860455006522</v>
      </c>
      <c r="I12" s="6">
        <f>'IRMS data'!$G74</f>
        <v>-21.125720910013044</v>
      </c>
      <c r="AK12" s="17"/>
      <c r="AL12" s="28">
        <f>'peak area'!D12</f>
        <v>0.2</v>
      </c>
      <c r="AM12" s="6">
        <f>'peak area'!E12</f>
        <v>0.01</v>
      </c>
      <c r="AN12" s="21">
        <f t="shared" si="2"/>
        <v>0.2</v>
      </c>
      <c r="AO12" s="21">
        <f t="shared" ref="AO12:AP12" si="18">D12</f>
        <v>-21.125720910013044</v>
      </c>
      <c r="AP12" s="23">
        <f t="shared" si="18"/>
        <v>1.0562860455006522</v>
      </c>
      <c r="AQ12" s="6">
        <f t="shared" si="4"/>
        <v>0.89626598657068546</v>
      </c>
      <c r="AR12" s="15"/>
      <c r="AS12" s="6"/>
      <c r="AT12" s="16"/>
    </row>
    <row r="13" spans="1:47" ht="12.75" customHeight="1">
      <c r="C13" s="2">
        <f t="shared" si="16"/>
        <v>250</v>
      </c>
      <c r="D13" s="15">
        <f t="shared" si="13"/>
        <v>-23.724590639037821</v>
      </c>
      <c r="E13" s="6">
        <f t="shared" si="14"/>
        <v>1.186229531951891</v>
      </c>
      <c r="I13" s="6">
        <f>'IRMS data'!$G75</f>
        <v>-23.724590639037821</v>
      </c>
      <c r="AK13" s="17"/>
      <c r="AL13" s="28">
        <f>'peak area'!D13</f>
        <v>0.3</v>
      </c>
      <c r="AM13" s="6">
        <f>'peak area'!E13</f>
        <v>1.4999999999999999E-2</v>
      </c>
      <c r="AN13" s="21">
        <f t="shared" si="2"/>
        <v>0.3</v>
      </c>
      <c r="AO13" s="21">
        <f t="shared" ref="AO13:AP13" si="19">D13</f>
        <v>-23.724590639037821</v>
      </c>
      <c r="AP13" s="23">
        <f t="shared" si="19"/>
        <v>1.186229531951891</v>
      </c>
      <c r="AQ13" s="6">
        <f t="shared" si="4"/>
        <v>0.71066108767479463</v>
      </c>
      <c r="AR13" s="15"/>
      <c r="AS13" s="6"/>
      <c r="AT13" s="16"/>
    </row>
    <row r="14" spans="1:47" ht="12.75" customHeight="1">
      <c r="C14" s="2">
        <f t="shared" si="16"/>
        <v>300</v>
      </c>
      <c r="D14" s="15">
        <f t="shared" si="13"/>
        <v>-23.824547167077235</v>
      </c>
      <c r="E14" s="6">
        <f t="shared" si="14"/>
        <v>1.1912273583538617</v>
      </c>
      <c r="I14" s="6">
        <f>'IRMS data'!$G76</f>
        <v>-23.824547167077235</v>
      </c>
      <c r="AK14" s="17"/>
      <c r="AL14" s="28">
        <f>'peak area'!D14</f>
        <v>0.3</v>
      </c>
      <c r="AM14" s="6">
        <f>'peak area'!E14</f>
        <v>1.4999999999999999E-2</v>
      </c>
      <c r="AN14" s="21">
        <f t="shared" si="2"/>
        <v>0.3</v>
      </c>
      <c r="AO14" s="21">
        <f t="shared" ref="AO14:AP14" si="20">D14</f>
        <v>-23.824547167077235</v>
      </c>
      <c r="AP14" s="23">
        <f t="shared" si="20"/>
        <v>1.1912273583538617</v>
      </c>
      <c r="AQ14" s="6">
        <f t="shared" si="4"/>
        <v>0.70471040165648458</v>
      </c>
      <c r="AR14" s="15"/>
      <c r="AS14" s="6"/>
      <c r="AT14" s="16"/>
    </row>
    <row r="15" spans="1:47" ht="12.75" customHeight="1">
      <c r="C15" s="1">
        <v>340</v>
      </c>
      <c r="D15" s="15">
        <f t="shared" si="13"/>
        <v>-23.524677582958994</v>
      </c>
      <c r="E15" s="6">
        <f t="shared" si="14"/>
        <v>1.1762338791479496</v>
      </c>
      <c r="I15" s="6">
        <f>'IRMS data'!$G77</f>
        <v>-23.524677582958994</v>
      </c>
      <c r="AK15" s="17"/>
      <c r="AL15" s="28">
        <f>'peak area'!D15</f>
        <v>0.4</v>
      </c>
      <c r="AM15" s="6">
        <f>'peak area'!E15</f>
        <v>0.02</v>
      </c>
      <c r="AN15" s="21">
        <f t="shared" si="2"/>
        <v>0.4</v>
      </c>
      <c r="AO15" s="21">
        <f t="shared" ref="AO15:AP15" si="21">D15</f>
        <v>-23.524677582958994</v>
      </c>
      <c r="AP15" s="23">
        <f t="shared" si="21"/>
        <v>1.1762338791479496</v>
      </c>
      <c r="AQ15" s="6">
        <f t="shared" si="4"/>
        <v>0.72279082570597375</v>
      </c>
      <c r="AR15" s="15"/>
      <c r="AS15" s="6"/>
      <c r="AT15" s="16"/>
    </row>
    <row r="16" spans="1:47" ht="12.75" customHeight="1">
      <c r="C16" s="1">
        <v>390</v>
      </c>
      <c r="D16" s="15">
        <f t="shared" si="13"/>
        <v>-25.623764671786699</v>
      </c>
      <c r="E16" s="6">
        <f t="shared" si="14"/>
        <v>1.2811882335893348</v>
      </c>
      <c r="I16" s="6">
        <f>'IRMS data'!$G78</f>
        <v>-25.623764671786699</v>
      </c>
      <c r="AK16" s="17"/>
      <c r="AL16" s="28">
        <f>'peak area'!D16</f>
        <v>0.5</v>
      </c>
      <c r="AM16" s="6">
        <f>'peak area'!E16</f>
        <v>2.5000000000000001E-2</v>
      </c>
      <c r="AN16" s="21">
        <f t="shared" si="2"/>
        <v>0.5</v>
      </c>
      <c r="AO16" s="21">
        <f t="shared" ref="AO16:AP16" si="22">D16</f>
        <v>-25.623764671786699</v>
      </c>
      <c r="AP16" s="23">
        <f t="shared" si="22"/>
        <v>1.2811882335893348</v>
      </c>
      <c r="AQ16" s="6">
        <f t="shared" si="4"/>
        <v>0.60921995061332823</v>
      </c>
      <c r="AR16" s="15"/>
      <c r="AS16" s="6"/>
      <c r="AT16" s="16"/>
    </row>
    <row r="17" spans="1:46" ht="12.75" customHeight="1">
      <c r="A17" s="2" t="str">
        <f>CONCATENATE(overview!$C13," ",overview!$D13)</f>
        <v>handling blank front</v>
      </c>
      <c r="B17" s="1" t="s">
        <v>84</v>
      </c>
      <c r="C17" s="1">
        <v>100</v>
      </c>
      <c r="D17" s="21">
        <f t="shared" ref="D17:D23" si="23">AVERAGE(J17:L17)</f>
        <v>-21.925373134328357</v>
      </c>
      <c r="E17" s="6">
        <f t="shared" ref="E17:E23" si="24">STDEV(J17:L17)</f>
        <v>1.9663763631633915</v>
      </c>
      <c r="J17" s="6">
        <f>'IRMS data'!$G16</f>
        <v>-22.225242718446605</v>
      </c>
      <c r="K17" s="6">
        <f>'IRMS data'!$G23</f>
        <v>-19.826286045500652</v>
      </c>
      <c r="L17" s="6">
        <f>'IRMS data'!$G86</f>
        <v>-23.724590639037821</v>
      </c>
      <c r="AK17" s="17"/>
      <c r="AL17" s="28">
        <f>'peak area'!D17</f>
        <v>0.23333333333333331</v>
      </c>
      <c r="AM17" s="6">
        <f>'peak area'!E17</f>
        <v>5.7735026918962762E-2</v>
      </c>
      <c r="AN17" s="21">
        <f t="shared" si="2"/>
        <v>0.23333333333333331</v>
      </c>
      <c r="AO17" s="21">
        <f t="shared" ref="AO17:AP17" si="25">D17</f>
        <v>-21.925373134328357</v>
      </c>
      <c r="AP17" s="23">
        <f t="shared" si="25"/>
        <v>1.9663763631633915</v>
      </c>
      <c r="AQ17" s="6">
        <f t="shared" si="4"/>
        <v>0.25862274069351648</v>
      </c>
      <c r="AR17" s="15">
        <v>-20.463027669999999</v>
      </c>
      <c r="AS17" s="6">
        <f t="shared" ref="AS17:AS23" si="26">SQRT( 1/SUM(AQ17,AQ24) )</f>
        <v>0.8152694330668796</v>
      </c>
      <c r="AT17" s="16"/>
    </row>
    <row r="18" spans="1:46" ht="12.75" customHeight="1">
      <c r="C18" s="2">
        <f t="shared" ref="C18:C21" si="27">C17+50</f>
        <v>150</v>
      </c>
      <c r="D18" s="21">
        <f t="shared" si="23"/>
        <v>-22.791663044003286</v>
      </c>
      <c r="E18" s="6">
        <f t="shared" si="24"/>
        <v>0.66554336127040747</v>
      </c>
      <c r="J18" s="6">
        <f>'IRMS data'!$G17</f>
        <v>-22.225242718446605</v>
      </c>
      <c r="K18" s="6">
        <f>'IRMS data'!$G24</f>
        <v>-22.625068830604263</v>
      </c>
      <c r="L18" s="6">
        <f>'IRMS data'!$G87</f>
        <v>-23.524677582958994</v>
      </c>
      <c r="AK18" s="17"/>
      <c r="AL18" s="28">
        <f>'peak area'!D18</f>
        <v>0.23333333333333331</v>
      </c>
      <c r="AM18" s="6">
        <f>'peak area'!E18</f>
        <v>5.7735026918962762E-2</v>
      </c>
      <c r="AN18" s="21">
        <f t="shared" si="2"/>
        <v>0.23333333333333331</v>
      </c>
      <c r="AO18" s="21">
        <f t="shared" ref="AO18:AP18" si="28">D18</f>
        <v>-22.791663044003286</v>
      </c>
      <c r="AP18" s="23">
        <f t="shared" si="28"/>
        <v>0.66554336127040747</v>
      </c>
      <c r="AQ18" s="6">
        <f t="shared" si="4"/>
        <v>2.2576015183847615</v>
      </c>
      <c r="AR18" s="15">
        <v>-21.55347605</v>
      </c>
      <c r="AS18" s="6">
        <f t="shared" si="26"/>
        <v>9.8847918585948866E-2</v>
      </c>
      <c r="AT18" s="16"/>
    </row>
    <row r="19" spans="1:46" ht="12.75" customHeight="1">
      <c r="C19" s="2">
        <f t="shared" si="27"/>
        <v>200</v>
      </c>
      <c r="D19" s="21">
        <f t="shared" si="23"/>
        <v>-24.524242863353138</v>
      </c>
      <c r="E19" s="6">
        <f t="shared" si="24"/>
        <v>0.87140080894199745</v>
      </c>
      <c r="J19" s="6">
        <f>'IRMS data'!$G18</f>
        <v>-25.523808143747285</v>
      </c>
      <c r="K19" s="6">
        <f>'IRMS data'!$G25</f>
        <v>-23.924503695116648</v>
      </c>
      <c r="L19" s="6">
        <f>'IRMS data'!$G88</f>
        <v>-24.124416751195479</v>
      </c>
      <c r="AK19" s="17"/>
      <c r="AL19" s="28">
        <f>'peak area'!D19</f>
        <v>0.33333333333333331</v>
      </c>
      <c r="AM19" s="6">
        <f>'peak area'!E19</f>
        <v>5.7735026918962519E-2</v>
      </c>
      <c r="AN19" s="21">
        <f t="shared" si="2"/>
        <v>0.33333333333333331</v>
      </c>
      <c r="AO19" s="21">
        <f t="shared" ref="AO19:AP19" si="29">D19</f>
        <v>-24.524242863353138</v>
      </c>
      <c r="AP19" s="23">
        <f t="shared" si="29"/>
        <v>0.87140080894199745</v>
      </c>
      <c r="AQ19" s="6">
        <f t="shared" si="4"/>
        <v>1.3169342190577706</v>
      </c>
      <c r="AR19" s="15">
        <v>-22.8031164</v>
      </c>
      <c r="AS19" s="6">
        <f t="shared" si="26"/>
        <v>0.28818872909012916</v>
      </c>
      <c r="AT19" s="16"/>
    </row>
    <row r="20" spans="1:46" ht="12.75" customHeight="1">
      <c r="C20" s="2">
        <f t="shared" si="27"/>
        <v>250</v>
      </c>
      <c r="D20" s="21">
        <f t="shared" si="23"/>
        <v>-25.623764671786699</v>
      </c>
      <c r="E20" s="6">
        <f t="shared" si="24"/>
        <v>0.62422831753299579</v>
      </c>
      <c r="J20" s="6">
        <f>'IRMS data'!$G19</f>
        <v>-26.323460368062598</v>
      </c>
      <c r="K20" s="6">
        <f>'IRMS data'!$G26</f>
        <v>-25.423851615707868</v>
      </c>
      <c r="L20" s="6">
        <f>'IRMS data'!$G89</f>
        <v>-25.123982031589627</v>
      </c>
      <c r="AK20" s="17"/>
      <c r="AL20" s="28">
        <f>'peak area'!D20</f>
        <v>0.43333333333333335</v>
      </c>
      <c r="AM20" s="6">
        <f>'peak area'!E20</f>
        <v>5.7735026918962762E-2</v>
      </c>
      <c r="AN20" s="21">
        <f t="shared" si="2"/>
        <v>0.43333333333333335</v>
      </c>
      <c r="AO20" s="21">
        <f t="shared" ref="AO20:AP20" si="30">D20</f>
        <v>-25.623764671786699</v>
      </c>
      <c r="AP20" s="23">
        <f t="shared" si="30"/>
        <v>0.62422831753299579</v>
      </c>
      <c r="AQ20" s="6">
        <f t="shared" si="4"/>
        <v>2.5663333499587555</v>
      </c>
      <c r="AR20" s="15">
        <v>-23.357308509999999</v>
      </c>
      <c r="AS20" s="6">
        <f t="shared" si="26"/>
        <v>0.1903878519698185</v>
      </c>
      <c r="AT20" s="16"/>
    </row>
    <row r="21" spans="1:46" ht="12.75" customHeight="1">
      <c r="C21" s="2">
        <f t="shared" si="27"/>
        <v>300</v>
      </c>
      <c r="D21" s="21">
        <f t="shared" si="23"/>
        <v>-25.623764671786699</v>
      </c>
      <c r="E21" s="6">
        <f t="shared" si="24"/>
        <v>0.88843305449417387</v>
      </c>
      <c r="J21" s="6">
        <f>'IRMS data'!$G20</f>
        <v>-26.323460368062598</v>
      </c>
      <c r="K21" s="6">
        <f>'IRMS data'!$G27</f>
        <v>-25.923634255904943</v>
      </c>
      <c r="L21" s="6">
        <f>'IRMS data'!$G90</f>
        <v>-24.624199391392551</v>
      </c>
      <c r="AK21" s="17"/>
      <c r="AL21" s="28">
        <f>'peak area'!D21</f>
        <v>0.39999999999999997</v>
      </c>
      <c r="AM21" s="6">
        <f>'peak area'!E21</f>
        <v>0.10000000000000005</v>
      </c>
      <c r="AN21" s="21">
        <f t="shared" si="2"/>
        <v>0.39999999999999997</v>
      </c>
      <c r="AO21" s="21">
        <f t="shared" ref="AO21:AP21" si="31">D21</f>
        <v>-25.623764671786699</v>
      </c>
      <c r="AP21" s="23">
        <f t="shared" si="31"/>
        <v>0.88843305449417387</v>
      </c>
      <c r="AQ21" s="6">
        <f t="shared" si="4"/>
        <v>1.2669240588403914</v>
      </c>
      <c r="AR21" s="15">
        <v>-24.99731478</v>
      </c>
      <c r="AS21" s="6">
        <f t="shared" si="26"/>
        <v>0.77074299467627683</v>
      </c>
      <c r="AT21" s="16"/>
    </row>
    <row r="22" spans="1:46" ht="12.75" customHeight="1">
      <c r="C22" s="1">
        <v>340</v>
      </c>
      <c r="D22" s="21">
        <f t="shared" si="23"/>
        <v>-25.75704004250592</v>
      </c>
      <c r="E22" s="6">
        <f t="shared" si="24"/>
        <v>0.68039002103683377</v>
      </c>
      <c r="J22" s="6">
        <f>'IRMS data'!$G21</f>
        <v>-25.22393855962904</v>
      </c>
      <c r="K22" s="6">
        <f>'IRMS data'!$G28</f>
        <v>-26.523373424141433</v>
      </c>
      <c r="L22" s="6">
        <f>'IRMS data'!$G91</f>
        <v>-25.523808143747285</v>
      </c>
      <c r="AK22" s="17"/>
      <c r="AL22" s="28">
        <f>'peak area'!D22</f>
        <v>0.70000000000000007</v>
      </c>
      <c r="AM22" s="6">
        <f>'peak area'!E22</f>
        <v>0.20000000000000009</v>
      </c>
      <c r="AN22" s="21">
        <f t="shared" si="2"/>
        <v>0.70000000000000007</v>
      </c>
      <c r="AO22" s="21">
        <f t="shared" ref="AO22:AP22" si="32">D22</f>
        <v>-25.75704004250592</v>
      </c>
      <c r="AP22" s="23">
        <f t="shared" si="32"/>
        <v>0.68039002103683377</v>
      </c>
      <c r="AQ22" s="6">
        <f t="shared" si="4"/>
        <v>2.1601510931307315</v>
      </c>
      <c r="AR22" s="15">
        <v>-23.716668680000002</v>
      </c>
      <c r="AS22" s="6">
        <f t="shared" si="26"/>
        <v>0.11379414375612051</v>
      </c>
      <c r="AT22" s="16"/>
    </row>
    <row r="23" spans="1:46" ht="12.75" customHeight="1">
      <c r="C23" s="1">
        <v>390</v>
      </c>
      <c r="D23" s="21">
        <f t="shared" si="23"/>
        <v>-24.124416751195479</v>
      </c>
      <c r="E23" s="6">
        <f t="shared" si="24"/>
        <v>2.2506872064618371</v>
      </c>
      <c r="J23" s="6">
        <f>'IRMS data'!$G22</f>
        <v>-25.423851615707868</v>
      </c>
      <c r="K23" s="6">
        <f>'IRMS data'!$G29</f>
        <v>-21.525547022170702</v>
      </c>
      <c r="L23" s="6">
        <f>'IRMS data'!$G92</f>
        <v>-25.423851615707868</v>
      </c>
      <c r="AK23" s="17"/>
      <c r="AL23" s="28">
        <f>'peak area'!D23</f>
        <v>0.80000000000000016</v>
      </c>
      <c r="AM23" s="6">
        <f>'peak area'!E23</f>
        <v>1.3597399555105182E-16</v>
      </c>
      <c r="AN23" s="21">
        <f t="shared" si="2"/>
        <v>0.80000000000000016</v>
      </c>
      <c r="AO23" s="21">
        <f t="shared" ref="AO23:AP23" si="33">D23</f>
        <v>-24.124416751195479</v>
      </c>
      <c r="AP23" s="23">
        <f t="shared" si="33"/>
        <v>2.2506872064618371</v>
      </c>
      <c r="AQ23" s="6">
        <f t="shared" si="4"/>
        <v>0.19741025768913434</v>
      </c>
      <c r="AR23" s="15">
        <v>-23.855568160000001</v>
      </c>
      <c r="AS23" s="6">
        <f t="shared" si="26"/>
        <v>0.9890315752334411</v>
      </c>
      <c r="AT23" s="16"/>
    </row>
    <row r="24" spans="1:46" ht="12.75" customHeight="1">
      <c r="B24" s="1" t="s">
        <v>89</v>
      </c>
      <c r="C24" s="1">
        <v>100</v>
      </c>
      <c r="D24" s="21">
        <f t="shared" ref="D24:D30" si="34">AVERAGE(N24:P24)</f>
        <v>-20.159474472298701</v>
      </c>
      <c r="E24" s="6">
        <f t="shared" ref="E24:E30" si="35">STDEV(N24:P24)</f>
        <v>0.89589900973720749</v>
      </c>
      <c r="M24" s="6">
        <f>'IRMS data'!$G93</f>
        <v>-17.327372844515288</v>
      </c>
      <c r="N24" s="6">
        <f>'IRMS data'!$G100</f>
        <v>-20.625938269815968</v>
      </c>
      <c r="O24" s="6">
        <f>'IRMS data'!$G107</f>
        <v>-20.725894797855386</v>
      </c>
      <c r="P24" s="6">
        <f>'IRMS data'!$G114</f>
        <v>-19.126590349224749</v>
      </c>
      <c r="AK24" s="17"/>
      <c r="AL24" s="28">
        <f>'peak area'!D24</f>
        <v>0.16666666666666666</v>
      </c>
      <c r="AM24" s="6">
        <f>'peak area'!E24</f>
        <v>5.7735026918962699E-2</v>
      </c>
      <c r="AN24" s="21">
        <f t="shared" si="2"/>
        <v>0.16666666666666666</v>
      </c>
      <c r="AO24" s="21">
        <f t="shared" ref="AO24:AP24" si="36">D24</f>
        <v>-20.159474472298701</v>
      </c>
      <c r="AP24" s="23">
        <f t="shared" si="36"/>
        <v>0.89589900973720749</v>
      </c>
      <c r="AQ24" s="6">
        <f t="shared" si="4"/>
        <v>1.2458962736314187</v>
      </c>
      <c r="AR24" s="15"/>
      <c r="AS24" s="6"/>
      <c r="AT24" s="16"/>
    </row>
    <row r="25" spans="1:46" ht="12.75" customHeight="1">
      <c r="C25" s="2">
        <f t="shared" ref="C25:C28" si="37">C24+50</f>
        <v>150</v>
      </c>
      <c r="D25" s="21">
        <f t="shared" si="34"/>
        <v>-21.525547022170699</v>
      </c>
      <c r="E25" s="6">
        <f t="shared" si="35"/>
        <v>9.9956528039413683E-2</v>
      </c>
      <c r="M25" s="6">
        <f>'IRMS data'!$G94</f>
        <v>-20.026199101579483</v>
      </c>
      <c r="N25" s="6">
        <f>'IRMS data'!$G101</f>
        <v>-21.625503550210112</v>
      </c>
      <c r="O25" s="6">
        <f>'IRMS data'!$G108</f>
        <v>-21.525547022170702</v>
      </c>
      <c r="P25" s="6">
        <f>'IRMS data'!$G115</f>
        <v>-21.425590494131285</v>
      </c>
      <c r="AK25" s="17"/>
      <c r="AL25" s="28">
        <f>'peak area'!D25</f>
        <v>0.20000000000000004</v>
      </c>
      <c r="AM25" s="6">
        <f>'peak area'!E25</f>
        <v>3.3993498887762956E-17</v>
      </c>
      <c r="AN25" s="21">
        <f t="shared" si="2"/>
        <v>0.20000000000000004</v>
      </c>
      <c r="AO25" s="21">
        <f t="shared" ref="AO25:AP25" si="38">D25</f>
        <v>-21.525547022170699</v>
      </c>
      <c r="AP25" s="23">
        <f t="shared" si="38"/>
        <v>9.9956528039413683E-2</v>
      </c>
      <c r="AQ25" s="6">
        <f t="shared" si="4"/>
        <v>100.08700064839273</v>
      </c>
      <c r="AR25" s="15"/>
      <c r="AS25" s="6"/>
      <c r="AT25" s="16"/>
    </row>
    <row r="26" spans="1:46" ht="12.75" customHeight="1">
      <c r="C26" s="2">
        <f t="shared" si="37"/>
        <v>200</v>
      </c>
      <c r="D26" s="21">
        <f t="shared" si="34"/>
        <v>-22.591749987924459</v>
      </c>
      <c r="E26" s="6">
        <f t="shared" si="35"/>
        <v>0.30537223729706248</v>
      </c>
      <c r="M26" s="6">
        <f>'IRMS data'!$G95</f>
        <v>-23.024894942761922</v>
      </c>
      <c r="N26" s="6">
        <f>'IRMS data'!$G102</f>
        <v>-22.924938414722504</v>
      </c>
      <c r="O26" s="6">
        <f>'IRMS data'!$G109</f>
        <v>-22.52511230256485</v>
      </c>
      <c r="P26" s="6">
        <f>'IRMS data'!$G116</f>
        <v>-22.325199246486015</v>
      </c>
      <c r="AK26" s="17"/>
      <c r="AL26" s="28">
        <f>'peak area'!D26</f>
        <v>0.20000000000000004</v>
      </c>
      <c r="AM26" s="6">
        <f>'peak area'!E26</f>
        <v>3.3993498887762956E-17</v>
      </c>
      <c r="AN26" s="21">
        <f t="shared" si="2"/>
        <v>0.20000000000000004</v>
      </c>
      <c r="AO26" s="21">
        <f t="shared" ref="AO26:AP26" si="39">D26</f>
        <v>-22.591749987924459</v>
      </c>
      <c r="AP26" s="23">
        <f t="shared" si="39"/>
        <v>0.30537223729706248</v>
      </c>
      <c r="AQ26" s="6">
        <f t="shared" si="4"/>
        <v>10.723607212327575</v>
      </c>
      <c r="AR26" s="15"/>
      <c r="AS26" s="6"/>
      <c r="AT26" s="16"/>
    </row>
    <row r="27" spans="1:46" ht="12.75" customHeight="1">
      <c r="C27" s="2">
        <f t="shared" si="37"/>
        <v>250</v>
      </c>
      <c r="D27" s="21">
        <f t="shared" si="34"/>
        <v>-23.124851470801332</v>
      </c>
      <c r="E27" s="6">
        <f t="shared" si="35"/>
        <v>0.19991305607882914</v>
      </c>
      <c r="M27" s="6">
        <f>'IRMS data'!$G96</f>
        <v>-24.324329807274307</v>
      </c>
      <c r="N27" s="6">
        <f>'IRMS data'!$G103</f>
        <v>-23.124851470801332</v>
      </c>
      <c r="O27" s="6">
        <f>'IRMS data'!$G110</f>
        <v>-23.324764526880163</v>
      </c>
      <c r="P27" s="6">
        <f>'IRMS data'!$G117</f>
        <v>-22.924938414722504</v>
      </c>
      <c r="AK27" s="17"/>
      <c r="AL27" s="28">
        <f>'peak area'!D27</f>
        <v>0.3</v>
      </c>
      <c r="AM27" s="6">
        <f>'peak area'!E27</f>
        <v>0</v>
      </c>
      <c r="AN27" s="21">
        <f t="shared" si="2"/>
        <v>0.3</v>
      </c>
      <c r="AO27" s="21">
        <f t="shared" ref="AO27:AP27" si="40">D27</f>
        <v>-23.124851470801332</v>
      </c>
      <c r="AP27" s="23">
        <f t="shared" si="40"/>
        <v>0.19991305607882914</v>
      </c>
      <c r="AQ27" s="6">
        <f t="shared" si="4"/>
        <v>25.021750162097742</v>
      </c>
      <c r="AR27" s="15"/>
      <c r="AS27" s="6"/>
      <c r="AT27" s="16"/>
    </row>
    <row r="28" spans="1:46" ht="12.75" customHeight="1">
      <c r="C28" s="2">
        <f t="shared" si="37"/>
        <v>300</v>
      </c>
      <c r="D28" s="21">
        <f t="shared" si="34"/>
        <v>-23.091532628121527</v>
      </c>
      <c r="E28" s="6">
        <f t="shared" si="35"/>
        <v>1.5495948616587452</v>
      </c>
      <c r="M28" s="6">
        <f>'IRMS data'!$G97</f>
        <v>-23.924503695116648</v>
      </c>
      <c r="N28" s="6">
        <f>'IRMS data'!$G104</f>
        <v>-23.124851470801332</v>
      </c>
      <c r="O28" s="6">
        <f>'IRMS data'!$G111</f>
        <v>-24.624199391392551</v>
      </c>
      <c r="P28" s="6">
        <f>'IRMS data'!$G118</f>
        <v>-21.525547022170702</v>
      </c>
      <c r="AK28" s="17"/>
      <c r="AL28" s="28">
        <f>'peak area'!D28</f>
        <v>0.26666666666666666</v>
      </c>
      <c r="AM28" s="6">
        <f>'peak area'!E28</f>
        <v>5.7735026918962401E-2</v>
      </c>
      <c r="AN28" s="21">
        <f t="shared" si="2"/>
        <v>0.26666666666666666</v>
      </c>
      <c r="AO28" s="21">
        <f t="shared" ref="AO28:AP28" si="41">D28</f>
        <v>-23.091532628121527</v>
      </c>
      <c r="AP28" s="23">
        <f t="shared" si="41"/>
        <v>1.5495948616587452</v>
      </c>
      <c r="AQ28" s="6">
        <f t="shared" si="4"/>
        <v>0.41645076552728627</v>
      </c>
      <c r="AR28" s="15"/>
      <c r="AS28" s="6"/>
      <c r="AT28" s="16"/>
    </row>
    <row r="29" spans="1:46" ht="12.75" customHeight="1">
      <c r="C29" s="1">
        <v>340</v>
      </c>
      <c r="D29" s="21">
        <f t="shared" si="34"/>
        <v>-23.657952953678215</v>
      </c>
      <c r="E29" s="6">
        <f t="shared" si="35"/>
        <v>0.11541985674163173</v>
      </c>
      <c r="M29" s="6">
        <f>'IRMS data'!$G98</f>
        <v>-23.124851470801332</v>
      </c>
      <c r="N29" s="6">
        <f>'IRMS data'!$G105</f>
        <v>-23.724590639037821</v>
      </c>
      <c r="O29" s="6">
        <f>'IRMS data'!$G112</f>
        <v>-23.724590639037821</v>
      </c>
      <c r="P29" s="6">
        <f>'IRMS data'!$G119</f>
        <v>-23.524677582958994</v>
      </c>
      <c r="AK29" s="17"/>
      <c r="AL29" s="28">
        <f>'peak area'!D29</f>
        <v>0.33333333333333331</v>
      </c>
      <c r="AM29" s="6">
        <f>'peak area'!E29</f>
        <v>5.7735026918962762E-2</v>
      </c>
      <c r="AN29" s="21">
        <f t="shared" si="2"/>
        <v>0.33333333333333331</v>
      </c>
      <c r="AO29" s="21">
        <f t="shared" ref="AO29:AP29" si="42">D29</f>
        <v>-23.657952953678215</v>
      </c>
      <c r="AP29" s="23">
        <f t="shared" si="42"/>
        <v>0.11541985674163173</v>
      </c>
      <c r="AQ29" s="6">
        <f t="shared" si="4"/>
        <v>75.065250486294559</v>
      </c>
      <c r="AR29" s="15"/>
      <c r="AS29" s="6"/>
      <c r="AT29" s="16"/>
    </row>
    <row r="30" spans="1:46" ht="12.75" customHeight="1">
      <c r="C30" s="1">
        <v>390</v>
      </c>
      <c r="D30" s="21">
        <f t="shared" si="34"/>
        <v>-23.791228324397434</v>
      </c>
      <c r="E30" s="6">
        <f t="shared" si="35"/>
        <v>1.1010352596777129</v>
      </c>
      <c r="M30" s="6">
        <f>'IRMS data'!$G99</f>
        <v>-22.725025358643677</v>
      </c>
      <c r="N30" s="6">
        <f>'IRMS data'!$G106</f>
        <v>-24.524242863353141</v>
      </c>
      <c r="O30" s="6">
        <f>'IRMS data'!$G113</f>
        <v>-22.52511230256485</v>
      </c>
      <c r="P30" s="6">
        <f>'IRMS data'!$G120</f>
        <v>-24.324329807274307</v>
      </c>
      <c r="AK30" s="17"/>
      <c r="AL30" s="28">
        <f>'peak area'!D30</f>
        <v>0.56666666666666665</v>
      </c>
      <c r="AM30" s="6">
        <f>'peak area'!E30</f>
        <v>0.25166114784235849</v>
      </c>
      <c r="AN30" s="21">
        <f t="shared" si="2"/>
        <v>0.56666666666666665</v>
      </c>
      <c r="AO30" s="21">
        <f t="shared" ref="AO30:AP30" si="43">D30</f>
        <v>-23.791228324397434</v>
      </c>
      <c r="AP30" s="23">
        <f t="shared" si="43"/>
        <v>1.1010352596777129</v>
      </c>
      <c r="AQ30" s="6">
        <f t="shared" si="4"/>
        <v>0.82489286248674076</v>
      </c>
      <c r="AR30" s="15"/>
      <c r="AS30" s="6"/>
      <c r="AT30" s="16"/>
    </row>
    <row r="31" spans="1:46" ht="12.75" customHeight="1">
      <c r="A31" s="2" t="str">
        <f>CONCATENATE(overview!$C14," ",overview!$D14)</f>
        <v>blank filters (pre-heated) --</v>
      </c>
      <c r="B31" s="1" t="s">
        <v>95</v>
      </c>
      <c r="C31" s="1">
        <v>100</v>
      </c>
      <c r="D31" s="21">
        <f t="shared" ref="D31:D37" si="44">AVERAGE(Q31:S31)</f>
        <v>-24.824112447471382</v>
      </c>
      <c r="E31" s="6">
        <f t="shared" ref="E31:E37" si="45">STDEV(Q31:S31)</f>
        <v>1.2761595206415886</v>
      </c>
      <c r="Q31" s="6">
        <f>'IRMS data'!$G30</f>
        <v>-23.724590639037821</v>
      </c>
      <c r="R31" s="6">
        <f>'IRMS data'!$G37</f>
        <v>-24.524242863353141</v>
      </c>
      <c r="S31" s="6">
        <f>'IRMS data'!$G121</f>
        <v>-26.223503840023188</v>
      </c>
      <c r="AK31" s="17"/>
      <c r="AL31" s="28">
        <f>'peak area'!D31</f>
        <v>0.33333333333333331</v>
      </c>
      <c r="AM31" s="6">
        <f>'peak area'!E31</f>
        <v>0.15275252316519469</v>
      </c>
      <c r="AN31" s="21">
        <f t="shared" si="2"/>
        <v>0.33333333333333331</v>
      </c>
      <c r="AO31" s="21">
        <f t="shared" ref="AO31:AP31" si="46">D31</f>
        <v>-24.824112447471382</v>
      </c>
      <c r="AP31" s="23">
        <f t="shared" si="46"/>
        <v>1.2761595206415886</v>
      </c>
      <c r="AQ31" s="6">
        <f t="shared" si="4"/>
        <v>0.61403067882448337</v>
      </c>
      <c r="AR31" s="15">
        <v>-20.860009569999999</v>
      </c>
      <c r="AS31" s="6">
        <f t="shared" ref="AS31:AS37" si="47">SQRT( 1/SUM(AQ31,AQ38,AQ45) )</f>
        <v>0.13915080303228083</v>
      </c>
      <c r="AT31" s="16"/>
    </row>
    <row r="32" spans="1:46" ht="12.75" customHeight="1">
      <c r="C32" s="2">
        <f t="shared" ref="C32:C35" si="48">C31+50</f>
        <v>150</v>
      </c>
      <c r="D32" s="21">
        <f t="shared" si="44"/>
        <v>-24.890750132830991</v>
      </c>
      <c r="E32" s="6">
        <f t="shared" si="45"/>
        <v>0.80793899719142759</v>
      </c>
      <c r="Q32" s="6">
        <f>'IRMS data'!$G31</f>
        <v>-25.024025503550213</v>
      </c>
      <c r="R32" s="6">
        <f>'IRMS data'!$G38</f>
        <v>-24.024460223156069</v>
      </c>
      <c r="S32" s="6">
        <f>'IRMS data'!$G122</f>
        <v>-25.623764671786699</v>
      </c>
      <c r="AK32" s="17"/>
      <c r="AL32" s="28">
        <f>'peak area'!D32</f>
        <v>0.23333333333333331</v>
      </c>
      <c r="AM32" s="6">
        <f>'peak area'!E32</f>
        <v>5.7735026918962762E-2</v>
      </c>
      <c r="AN32" s="21">
        <f t="shared" si="2"/>
        <v>0.23333333333333331</v>
      </c>
      <c r="AO32" s="21">
        <f t="shared" ref="AO32:AP32" si="49">D32</f>
        <v>-24.890750132830991</v>
      </c>
      <c r="AP32" s="23">
        <f t="shared" si="49"/>
        <v>0.80793899719142759</v>
      </c>
      <c r="AQ32" s="6">
        <f t="shared" si="4"/>
        <v>1.5319438874753784</v>
      </c>
      <c r="AR32" s="15">
        <v>-23.229450010000001</v>
      </c>
      <c r="AS32" s="6">
        <f t="shared" si="47"/>
        <v>0.43127693089340108</v>
      </c>
      <c r="AT32" s="16"/>
    </row>
    <row r="33" spans="2:46" ht="12.75" customHeight="1">
      <c r="C33" s="2">
        <f t="shared" si="48"/>
        <v>200</v>
      </c>
      <c r="D33" s="21">
        <f t="shared" si="44"/>
        <v>-23.891184852436847</v>
      </c>
      <c r="E33" s="6">
        <f t="shared" si="45"/>
        <v>0.90698271794091923</v>
      </c>
      <c r="Q33" s="6">
        <f>'IRMS data'!$G32</f>
        <v>-24.724155919431968</v>
      </c>
      <c r="R33" s="6">
        <f>'IRMS data'!$G39</f>
        <v>-22.924938414722504</v>
      </c>
      <c r="S33" s="6">
        <f>'IRMS data'!$G123</f>
        <v>-24.024460223156069</v>
      </c>
      <c r="AK33" s="17"/>
      <c r="AL33" s="28">
        <f>'peak area'!D33</f>
        <v>0.20000000000000004</v>
      </c>
      <c r="AM33" s="6">
        <f>'peak area'!E33</f>
        <v>3.3993498887762956E-17</v>
      </c>
      <c r="AN33" s="21">
        <f t="shared" si="2"/>
        <v>0.20000000000000004</v>
      </c>
      <c r="AO33" s="21">
        <f t="shared" ref="AO33:AP33" si="50">D33</f>
        <v>-23.891184852436847</v>
      </c>
      <c r="AP33" s="23">
        <f t="shared" si="50"/>
        <v>0.90698271794091923</v>
      </c>
      <c r="AQ33" s="6">
        <f t="shared" si="4"/>
        <v>1.2156315868225593</v>
      </c>
      <c r="AR33" s="15">
        <v>-23.105708379999999</v>
      </c>
      <c r="AS33" s="6">
        <f t="shared" si="47"/>
        <v>0.47415101835658735</v>
      </c>
      <c r="AT33" s="16"/>
    </row>
    <row r="34" spans="2:46" ht="12.75" customHeight="1">
      <c r="C34" s="2">
        <f t="shared" si="48"/>
        <v>250</v>
      </c>
      <c r="D34" s="21">
        <f t="shared" si="44"/>
        <v>-26.056909626624162</v>
      </c>
      <c r="E34" s="6">
        <f t="shared" si="45"/>
        <v>2.1352673497202095</v>
      </c>
      <c r="Q34" s="6">
        <f>'IRMS data'!$G33</f>
        <v>-28.522503984929724</v>
      </c>
      <c r="R34" s="6">
        <f>'IRMS data'!$G40</f>
        <v>-24.824112447471379</v>
      </c>
      <c r="S34" s="6">
        <f>'IRMS data'!$G124</f>
        <v>-24.824112447471379</v>
      </c>
      <c r="AK34" s="17"/>
      <c r="AL34" s="28">
        <f>'peak area'!D34</f>
        <v>0.30000000000000004</v>
      </c>
      <c r="AM34" s="6">
        <f>'peak area'!E34</f>
        <v>9.9999999999999908E-2</v>
      </c>
      <c r="AN34" s="21">
        <f t="shared" si="2"/>
        <v>0.30000000000000004</v>
      </c>
      <c r="AO34" s="21">
        <f t="shared" ref="AO34:AP34" si="51">D34</f>
        <v>-26.056909626624162</v>
      </c>
      <c r="AP34" s="23">
        <f t="shared" si="51"/>
        <v>2.1352673497202095</v>
      </c>
      <c r="AQ34" s="6">
        <f t="shared" si="4"/>
        <v>0.21932870850633446</v>
      </c>
      <c r="AR34" s="15">
        <v>-24.411417839999999</v>
      </c>
      <c r="AS34" s="6">
        <f t="shared" si="47"/>
        <v>0.79215232205951647</v>
      </c>
      <c r="AT34" s="16"/>
    </row>
    <row r="35" spans="2:46" ht="12.75" customHeight="1">
      <c r="C35" s="2">
        <f t="shared" si="48"/>
        <v>300</v>
      </c>
      <c r="D35" s="21">
        <f t="shared" si="44"/>
        <v>-26.889880693619279</v>
      </c>
      <c r="E35" s="6">
        <f t="shared" si="45"/>
        <v>2.0024596731040489</v>
      </c>
      <c r="Q35" s="6">
        <f>'IRMS data'!$G34</f>
        <v>-28.822373569047965</v>
      </c>
      <c r="R35" s="6">
        <f>'IRMS data'!$G41</f>
        <v>-27.023156064338504</v>
      </c>
      <c r="S35" s="6">
        <f>'IRMS data'!$G125</f>
        <v>-24.824112447471379</v>
      </c>
      <c r="AK35" s="17"/>
      <c r="AL35" s="28">
        <f>'peak area'!D35</f>
        <v>0.3666666666666667</v>
      </c>
      <c r="AM35" s="6">
        <f>'peak area'!E35</f>
        <v>0.11547005383792493</v>
      </c>
      <c r="AN35" s="21">
        <f t="shared" si="2"/>
        <v>0.3666666666666667</v>
      </c>
      <c r="AO35" s="21">
        <f t="shared" ref="AO35:AP35" si="52">D35</f>
        <v>-26.889880693619279</v>
      </c>
      <c r="AP35" s="23">
        <f t="shared" si="52"/>
        <v>2.0024596731040489</v>
      </c>
      <c r="AQ35" s="6">
        <f t="shared" si="4"/>
        <v>0.24938621424017637</v>
      </c>
      <c r="AR35" s="15">
        <v>-24.44623412</v>
      </c>
      <c r="AS35" s="6">
        <f t="shared" si="47"/>
        <v>0.14013579900923348</v>
      </c>
      <c r="AT35" s="16"/>
    </row>
    <row r="36" spans="2:46" ht="12.75" customHeight="1">
      <c r="C36" s="1">
        <v>340</v>
      </c>
      <c r="D36" s="21">
        <f t="shared" si="44"/>
        <v>-26.82324300825967</v>
      </c>
      <c r="E36" s="6">
        <f t="shared" si="45"/>
        <v>2.0411700631104979</v>
      </c>
      <c r="Q36" s="6">
        <f>'IRMS data'!$G35</f>
        <v>-29.12224315316621</v>
      </c>
      <c r="R36" s="6">
        <f>'IRMS data'!$G42</f>
        <v>-26.123547311983771</v>
      </c>
      <c r="S36" s="6">
        <f>'IRMS data'!$G126</f>
        <v>-25.22393855962904</v>
      </c>
      <c r="AK36" s="17"/>
      <c r="AL36" s="28">
        <f>'peak area'!D36</f>
        <v>0.46666666666666662</v>
      </c>
      <c r="AM36" s="6">
        <f>'peak area'!E36</f>
        <v>5.7735026918963241E-2</v>
      </c>
      <c r="AN36" s="21">
        <f t="shared" si="2"/>
        <v>0.46666666666666662</v>
      </c>
      <c r="AO36" s="21">
        <f t="shared" ref="AO36:AP36" si="53">D36</f>
        <v>-26.82324300825967</v>
      </c>
      <c r="AP36" s="23">
        <f t="shared" si="53"/>
        <v>2.0411700631104979</v>
      </c>
      <c r="AQ36" s="6">
        <f t="shared" si="4"/>
        <v>0.24001678812563765</v>
      </c>
      <c r="AR36" s="15">
        <v>-24.435839959999999</v>
      </c>
      <c r="AS36" s="6">
        <f t="shared" si="47"/>
        <v>0.39058581133738657</v>
      </c>
      <c r="AT36" s="16"/>
    </row>
    <row r="37" spans="2:46" ht="12.75" customHeight="1">
      <c r="C37" s="1">
        <v>390</v>
      </c>
      <c r="D37" s="21">
        <f t="shared" si="44"/>
        <v>-27.522938704535576</v>
      </c>
      <c r="E37" s="6">
        <f t="shared" si="45"/>
        <v>2.4868894911259649</v>
      </c>
      <c r="Q37" s="6">
        <f>'IRMS data'!$G36</f>
        <v>-30.221764961599771</v>
      </c>
      <c r="R37" s="6">
        <f>'IRMS data'!$G43</f>
        <v>-27.023156064338504</v>
      </c>
      <c r="S37" s="6">
        <f>'IRMS data'!$G127</f>
        <v>-25.323895087668454</v>
      </c>
      <c r="AK37" s="17"/>
      <c r="AL37" s="28">
        <f>'peak area'!D37</f>
        <v>0.70000000000000007</v>
      </c>
      <c r="AM37" s="6">
        <f>'peak area'!E37</f>
        <v>0.1000000000000006</v>
      </c>
      <c r="AN37" s="21">
        <f t="shared" si="2"/>
        <v>0.70000000000000007</v>
      </c>
      <c r="AO37" s="21">
        <f t="shared" ref="AO37:AP37" si="54">D37</f>
        <v>-27.522938704535576</v>
      </c>
      <c r="AP37" s="23">
        <f t="shared" si="54"/>
        <v>2.4868894911259649</v>
      </c>
      <c r="AQ37" s="6">
        <f t="shared" si="4"/>
        <v>0.16169143885038909</v>
      </c>
      <c r="AR37" s="15">
        <v>-24.44920733</v>
      </c>
      <c r="AS37" s="6">
        <f t="shared" si="47"/>
        <v>0.93449503335180151</v>
      </c>
      <c r="AT37" s="16"/>
    </row>
    <row r="38" spans="2:46" ht="12.75" customHeight="1">
      <c r="B38" s="1" t="s">
        <v>102</v>
      </c>
      <c r="C38" s="1">
        <v>100</v>
      </c>
      <c r="D38" s="21">
        <f t="shared" ref="D38:D44" si="55">AVERAGE(T38:U38)</f>
        <v>-20.825851325894799</v>
      </c>
      <c r="E38" s="6">
        <f t="shared" ref="E38:E44" si="56">STDEV(T38:U38)</f>
        <v>0.14135987760106539</v>
      </c>
      <c r="T38" s="6">
        <f>'IRMS data'!$G44</f>
        <v>-20.725894797855386</v>
      </c>
      <c r="U38" s="6">
        <f>'IRMS data'!$G51</f>
        <v>-20.925807853934213</v>
      </c>
      <c r="AK38" s="17"/>
      <c r="AL38" s="28">
        <f>'peak area'!D38</f>
        <v>0.1</v>
      </c>
      <c r="AM38" s="6">
        <f>'peak area'!E38</f>
        <v>0</v>
      </c>
      <c r="AN38" s="21">
        <f t="shared" si="2"/>
        <v>0.1</v>
      </c>
      <c r="AO38" s="21">
        <f t="shared" ref="AO38:AP38" si="57">D38</f>
        <v>-20.825851325894799</v>
      </c>
      <c r="AP38" s="23">
        <f t="shared" si="57"/>
        <v>0.14135987760106539</v>
      </c>
      <c r="AQ38" s="6">
        <f t="shared" si="4"/>
        <v>50.043500324196366</v>
      </c>
      <c r="AR38" s="15"/>
      <c r="AS38" s="6"/>
      <c r="AT38" s="16"/>
    </row>
    <row r="39" spans="2:46" ht="12.75" customHeight="1">
      <c r="C39" s="2">
        <f t="shared" ref="C39:C42" si="58">C38+50</f>
        <v>150</v>
      </c>
      <c r="D39" s="21">
        <f t="shared" si="55"/>
        <v>-22.325199246486019</v>
      </c>
      <c r="E39" s="6">
        <f t="shared" si="56"/>
        <v>0.56543951040426654</v>
      </c>
      <c r="T39" s="6">
        <f>'IRMS data'!$G45</f>
        <v>-21.92537313432836</v>
      </c>
      <c r="U39" s="6">
        <f>'IRMS data'!$G52</f>
        <v>-22.725025358643677</v>
      </c>
      <c r="AK39" s="17"/>
      <c r="AL39" s="28">
        <f>'peak area'!D39</f>
        <v>0.15000000000000002</v>
      </c>
      <c r="AM39" s="6">
        <f>'peak area'!E39</f>
        <v>7.0710678118654738E-2</v>
      </c>
      <c r="AN39" s="21">
        <f t="shared" si="2"/>
        <v>0.15000000000000002</v>
      </c>
      <c r="AO39" s="21">
        <f t="shared" ref="AO39:AP39" si="59">D39</f>
        <v>-22.325199246486019</v>
      </c>
      <c r="AP39" s="23">
        <f t="shared" si="59"/>
        <v>0.56543951040426654</v>
      </c>
      <c r="AQ39" s="6">
        <f t="shared" si="4"/>
        <v>3.1277187702622178</v>
      </c>
      <c r="AR39" s="15"/>
      <c r="AS39" s="6"/>
      <c r="AT39" s="16"/>
    </row>
    <row r="40" spans="2:46" ht="12.75" customHeight="1">
      <c r="C40" s="2">
        <f t="shared" si="58"/>
        <v>200</v>
      </c>
      <c r="D40" s="21">
        <f t="shared" si="55"/>
        <v>-22.775003622663384</v>
      </c>
      <c r="E40" s="6">
        <f t="shared" si="56"/>
        <v>0.63611944920480179</v>
      </c>
      <c r="T40" s="6">
        <f>'IRMS data'!$G46</f>
        <v>-23.224807998840749</v>
      </c>
      <c r="U40" s="6">
        <f>'IRMS data'!$G53</f>
        <v>-22.325199246486015</v>
      </c>
      <c r="AK40" s="17"/>
      <c r="AL40" s="28">
        <f>'peak area'!D40</f>
        <v>0.2</v>
      </c>
      <c r="AM40" s="6">
        <f>'peak area'!E40</f>
        <v>0</v>
      </c>
      <c r="AN40" s="21">
        <f t="shared" si="2"/>
        <v>0.2</v>
      </c>
      <c r="AO40" s="21">
        <f t="shared" ref="AO40:AP40" si="60">D40</f>
        <v>-22.775003622663384</v>
      </c>
      <c r="AP40" s="23">
        <f t="shared" si="60"/>
        <v>0.63611944920480179</v>
      </c>
      <c r="AQ40" s="6">
        <f t="shared" si="4"/>
        <v>2.4712839666269222</v>
      </c>
      <c r="AR40" s="15"/>
      <c r="AS40" s="6"/>
      <c r="AT40" s="16"/>
    </row>
    <row r="41" spans="2:46" ht="12.75" customHeight="1">
      <c r="C41" s="2">
        <f t="shared" si="58"/>
        <v>250</v>
      </c>
      <c r="D41" s="21">
        <f t="shared" si="55"/>
        <v>-24.074438487175776</v>
      </c>
      <c r="E41" s="6">
        <f t="shared" si="56"/>
        <v>1.2015589596090683</v>
      </c>
      <c r="T41" s="6">
        <f>'IRMS data'!$G47</f>
        <v>-24.924068975510799</v>
      </c>
      <c r="U41" s="6">
        <f>'IRMS data'!$G54</f>
        <v>-23.224807998840749</v>
      </c>
      <c r="AK41" s="17"/>
      <c r="AL41" s="28">
        <f>'peak area'!D41</f>
        <v>0.30000000000000004</v>
      </c>
      <c r="AM41" s="6">
        <f>'peak area'!E41</f>
        <v>0.14142135623730948</v>
      </c>
      <c r="AN41" s="21">
        <f t="shared" si="2"/>
        <v>0.30000000000000004</v>
      </c>
      <c r="AO41" s="21">
        <f t="shared" ref="AO41:AP41" si="61">D41</f>
        <v>-24.074438487175776</v>
      </c>
      <c r="AP41" s="23">
        <f t="shared" si="61"/>
        <v>1.2015589596090683</v>
      </c>
      <c r="AQ41" s="6">
        <f t="shared" si="4"/>
        <v>0.69264360310304951</v>
      </c>
      <c r="AR41" s="15"/>
      <c r="AS41" s="6"/>
      <c r="AT41" s="16"/>
    </row>
    <row r="42" spans="2:46" ht="12.75" customHeight="1">
      <c r="C42" s="2">
        <f t="shared" si="58"/>
        <v>300</v>
      </c>
      <c r="D42" s="21">
        <f t="shared" si="55"/>
        <v>-24.424286335313724</v>
      </c>
      <c r="E42" s="6">
        <f t="shared" si="56"/>
        <v>0.14135987760107041</v>
      </c>
      <c r="T42" s="6">
        <f>'IRMS data'!$G48</f>
        <v>-24.324329807274307</v>
      </c>
      <c r="U42" s="6">
        <f>'IRMS data'!$G55</f>
        <v>-24.524242863353141</v>
      </c>
      <c r="AK42" s="17"/>
      <c r="AL42" s="28">
        <f>'peak area'!D42</f>
        <v>0.25</v>
      </c>
      <c r="AM42" s="6">
        <f>'peak area'!E42</f>
        <v>7.0710678118654779E-2</v>
      </c>
      <c r="AN42" s="21">
        <f t="shared" si="2"/>
        <v>0.25</v>
      </c>
      <c r="AO42" s="21">
        <f t="shared" ref="AO42:AP42" si="62">D42</f>
        <v>-24.424286335313724</v>
      </c>
      <c r="AP42" s="23">
        <f t="shared" si="62"/>
        <v>0.14135987760107041</v>
      </c>
      <c r="AQ42" s="6">
        <f t="shared" si="4"/>
        <v>50.043500324192813</v>
      </c>
      <c r="AR42" s="15"/>
      <c r="AS42" s="6"/>
      <c r="AT42" s="16"/>
    </row>
    <row r="43" spans="2:46" ht="12.75" customHeight="1">
      <c r="C43" s="1">
        <v>340</v>
      </c>
      <c r="D43" s="21">
        <f t="shared" si="55"/>
        <v>-24.524242863353138</v>
      </c>
      <c r="E43" s="6">
        <f t="shared" si="56"/>
        <v>0.42407963280319616</v>
      </c>
      <c r="T43" s="6">
        <f>'IRMS data'!$G49</f>
        <v>-24.224373279234896</v>
      </c>
      <c r="U43" s="6">
        <f>'IRMS data'!$G56</f>
        <v>-24.824112447471379</v>
      </c>
      <c r="AK43" s="17"/>
      <c r="AL43" s="28">
        <f>'peak area'!D43</f>
        <v>0.35</v>
      </c>
      <c r="AM43" s="6">
        <f>'peak area'!E43</f>
        <v>7.0710678118654974E-2</v>
      </c>
      <c r="AN43" s="21">
        <f t="shared" si="2"/>
        <v>0.35</v>
      </c>
      <c r="AO43" s="21">
        <f t="shared" ref="AO43:AP43" si="63">D43</f>
        <v>-24.524242863353138</v>
      </c>
      <c r="AP43" s="23">
        <f t="shared" si="63"/>
        <v>0.42407963280319616</v>
      </c>
      <c r="AQ43" s="6">
        <f t="shared" si="4"/>
        <v>5.5603889249107077</v>
      </c>
      <c r="AR43" s="15"/>
      <c r="AS43" s="6"/>
      <c r="AT43" s="16"/>
    </row>
    <row r="44" spans="2:46" ht="12.75" customHeight="1">
      <c r="C44" s="1">
        <v>390</v>
      </c>
      <c r="D44" s="21">
        <f t="shared" si="55"/>
        <v>-23.524677582958994</v>
      </c>
      <c r="E44" s="6">
        <f t="shared" si="56"/>
        <v>1.8376784088138625</v>
      </c>
      <c r="T44" s="6">
        <f>'IRMS data'!$G50</f>
        <v>-22.225242718446605</v>
      </c>
      <c r="U44" s="6">
        <f>'IRMS data'!$G57</f>
        <v>-24.824112447471379</v>
      </c>
      <c r="AK44" s="17"/>
      <c r="AL44" s="28">
        <f>'peak area'!D44</f>
        <v>0.65</v>
      </c>
      <c r="AM44" s="6">
        <f>'peak area'!E44</f>
        <v>0.35355339059327379</v>
      </c>
      <c r="AN44" s="21">
        <f t="shared" si="2"/>
        <v>0.65</v>
      </c>
      <c r="AO44" s="21">
        <f t="shared" ref="AO44:AP44" si="64">D44</f>
        <v>-23.524677582958994</v>
      </c>
      <c r="AP44" s="23">
        <f t="shared" si="64"/>
        <v>1.8376784088138625</v>
      </c>
      <c r="AQ44" s="6">
        <f t="shared" si="4"/>
        <v>0.29611538653370229</v>
      </c>
      <c r="AR44" s="15"/>
      <c r="AS44" s="6"/>
      <c r="AT44" s="16"/>
    </row>
    <row r="45" spans="2:46" ht="12.75" customHeight="1">
      <c r="B45" s="1" t="s">
        <v>106</v>
      </c>
      <c r="C45" s="1">
        <v>100</v>
      </c>
      <c r="D45" s="15">
        <f t="shared" ref="D45:D51" si="65">V45</f>
        <v>-20.126155629618896</v>
      </c>
      <c r="E45" s="6">
        <f t="shared" ref="E45:E51" si="66">ABS(V45/100*5)</f>
        <v>1.0063077814809449</v>
      </c>
      <c r="V45" s="6">
        <f>'IRMS data'!$G128</f>
        <v>-20.126155629618896</v>
      </c>
      <c r="AK45" s="17"/>
      <c r="AL45" s="28">
        <f>'peak area'!D45</f>
        <v>0.1</v>
      </c>
      <c r="AM45" s="6">
        <f>'peak area'!E45</f>
        <v>5.0000000000000001E-3</v>
      </c>
      <c r="AN45" s="21">
        <f t="shared" si="2"/>
        <v>0.1</v>
      </c>
      <c r="AO45" s="21">
        <f t="shared" ref="AO45:AP45" si="67">D45</f>
        <v>-20.126155629618896</v>
      </c>
      <c r="AP45" s="23">
        <f t="shared" si="67"/>
        <v>1.0063077814809449</v>
      </c>
      <c r="AQ45" s="6">
        <f t="shared" si="4"/>
        <v>0.98750280531699119</v>
      </c>
      <c r="AR45" s="15"/>
      <c r="AS45" s="6"/>
      <c r="AT45" s="16"/>
    </row>
    <row r="46" spans="2:46" ht="12.75" customHeight="1">
      <c r="C46" s="2">
        <f t="shared" ref="C46:C49" si="68">C45+50</f>
        <v>150</v>
      </c>
      <c r="D46" s="15">
        <f t="shared" si="65"/>
        <v>-23.624634110998407</v>
      </c>
      <c r="E46" s="6">
        <f t="shared" si="66"/>
        <v>1.1812317055499204</v>
      </c>
      <c r="V46" s="6">
        <f>'IRMS data'!$G129</f>
        <v>-23.624634110998407</v>
      </c>
      <c r="AK46" s="17"/>
      <c r="AL46" s="28">
        <f>'peak area'!D46</f>
        <v>0.2</v>
      </c>
      <c r="AM46" s="6">
        <f>'peak area'!E46</f>
        <v>0.01</v>
      </c>
      <c r="AN46" s="21">
        <f t="shared" si="2"/>
        <v>0.2</v>
      </c>
      <c r="AO46" s="21">
        <f t="shared" ref="AO46:AP46" si="69">D46</f>
        <v>-23.624634110998407</v>
      </c>
      <c r="AP46" s="23">
        <f t="shared" si="69"/>
        <v>1.1812317055499204</v>
      </c>
      <c r="AQ46" s="6">
        <f t="shared" si="4"/>
        <v>0.71668746595887645</v>
      </c>
      <c r="AR46" s="15"/>
      <c r="AS46" s="6"/>
      <c r="AT46" s="16"/>
    </row>
    <row r="47" spans="2:46" ht="12.75" customHeight="1">
      <c r="C47" s="2">
        <f t="shared" si="68"/>
        <v>200</v>
      </c>
      <c r="D47" s="15">
        <f t="shared" si="65"/>
        <v>-22.924938414722504</v>
      </c>
      <c r="E47" s="6">
        <f t="shared" si="66"/>
        <v>1.1462469207361252</v>
      </c>
      <c r="V47" s="6">
        <f>'IRMS data'!$G130</f>
        <v>-22.924938414722504</v>
      </c>
      <c r="AK47" s="17"/>
      <c r="AL47" s="28">
        <f>'peak area'!D47</f>
        <v>0.2</v>
      </c>
      <c r="AM47" s="6">
        <f>'peak area'!E47</f>
        <v>0.01</v>
      </c>
      <c r="AN47" s="21">
        <f t="shared" si="2"/>
        <v>0.2</v>
      </c>
      <c r="AO47" s="21">
        <f t="shared" ref="AO47:AP47" si="70">D47</f>
        <v>-22.924938414722504</v>
      </c>
      <c r="AP47" s="23">
        <f t="shared" si="70"/>
        <v>1.1462469207361252</v>
      </c>
      <c r="AQ47" s="6">
        <f t="shared" si="4"/>
        <v>0.76110335440367172</v>
      </c>
      <c r="AR47" s="15"/>
      <c r="AS47" s="6"/>
      <c r="AT47" s="16"/>
    </row>
    <row r="48" spans="2:46" ht="12.75" customHeight="1">
      <c r="C48" s="2">
        <f t="shared" si="68"/>
        <v>250</v>
      </c>
      <c r="D48" s="15">
        <f t="shared" si="65"/>
        <v>-24.224373279234896</v>
      </c>
      <c r="E48" s="6">
        <f t="shared" si="66"/>
        <v>1.2112186639617448</v>
      </c>
      <c r="V48" s="6">
        <f>'IRMS data'!$G131</f>
        <v>-24.224373279234896</v>
      </c>
      <c r="AK48" s="17"/>
      <c r="AL48" s="28">
        <f>'peak area'!D48</f>
        <v>0.2</v>
      </c>
      <c r="AM48" s="6">
        <f>'peak area'!E48</f>
        <v>0.01</v>
      </c>
      <c r="AN48" s="21">
        <f t="shared" si="2"/>
        <v>0.2</v>
      </c>
      <c r="AO48" s="21">
        <f t="shared" ref="AO48:AP48" si="71">D48</f>
        <v>-24.224373279234896</v>
      </c>
      <c r="AP48" s="23">
        <f t="shared" si="71"/>
        <v>1.2112186639617448</v>
      </c>
      <c r="AQ48" s="6">
        <f t="shared" si="4"/>
        <v>0.6816397229945198</v>
      </c>
      <c r="AR48" s="15"/>
      <c r="AS48" s="6"/>
      <c r="AT48" s="16"/>
    </row>
    <row r="49" spans="1:47" ht="12.75" customHeight="1">
      <c r="C49" s="2">
        <f t="shared" si="68"/>
        <v>300</v>
      </c>
      <c r="D49" s="15">
        <f t="shared" si="65"/>
        <v>-25.22393855962904</v>
      </c>
      <c r="E49" s="6">
        <f t="shared" si="66"/>
        <v>1.2611969279814519</v>
      </c>
      <c r="V49" s="6">
        <f>'IRMS data'!$G132</f>
        <v>-25.22393855962904</v>
      </c>
      <c r="AK49" s="17"/>
      <c r="AL49" s="28">
        <f>'peak area'!D49</f>
        <v>0.3</v>
      </c>
      <c r="AM49" s="6">
        <f>'peak area'!E49</f>
        <v>1.4999999999999999E-2</v>
      </c>
      <c r="AN49" s="21">
        <f t="shared" si="2"/>
        <v>0.3</v>
      </c>
      <c r="AO49" s="21">
        <f t="shared" ref="AO49:AP49" si="72">D49</f>
        <v>-25.22393855962904</v>
      </c>
      <c r="AP49" s="23">
        <f t="shared" si="72"/>
        <v>1.2611969279814519</v>
      </c>
      <c r="AQ49" s="6">
        <f t="shared" si="4"/>
        <v>0.62868658230319552</v>
      </c>
      <c r="AR49" s="15"/>
      <c r="AS49" s="6"/>
      <c r="AT49" s="16"/>
    </row>
    <row r="50" spans="1:47" ht="12.75" customHeight="1">
      <c r="C50" s="1">
        <v>340</v>
      </c>
      <c r="D50" s="15">
        <f t="shared" si="65"/>
        <v>-23.024894942761922</v>
      </c>
      <c r="E50" s="6">
        <f t="shared" si="66"/>
        <v>1.1512447471380962</v>
      </c>
      <c r="V50" s="6">
        <f>'IRMS data'!$G133</f>
        <v>-23.024894942761922</v>
      </c>
      <c r="AK50" s="17"/>
      <c r="AL50" s="28">
        <f>'peak area'!D50</f>
        <v>0.3</v>
      </c>
      <c r="AM50" s="6">
        <f>'peak area'!E50</f>
        <v>1.4999999999999999E-2</v>
      </c>
      <c r="AN50" s="21">
        <f t="shared" si="2"/>
        <v>0.3</v>
      </c>
      <c r="AO50" s="21">
        <f t="shared" ref="AO50:AP50" si="73">D50</f>
        <v>-23.024894942761922</v>
      </c>
      <c r="AP50" s="23">
        <f t="shared" si="73"/>
        <v>1.1512447471380962</v>
      </c>
      <c r="AQ50" s="6">
        <f t="shared" si="4"/>
        <v>0.75450943818500549</v>
      </c>
      <c r="AR50" s="15"/>
      <c r="AS50" s="6"/>
      <c r="AT50" s="16"/>
    </row>
    <row r="51" spans="1:47" ht="12.75" customHeight="1">
      <c r="C51" s="1">
        <v>390</v>
      </c>
      <c r="D51" s="15">
        <f t="shared" si="65"/>
        <v>-24.124416751195479</v>
      </c>
      <c r="E51" s="6">
        <f t="shared" si="66"/>
        <v>1.2062208375597741</v>
      </c>
      <c r="V51" s="6">
        <f>'IRMS data'!$G134</f>
        <v>-24.124416751195479</v>
      </c>
      <c r="AK51" s="17"/>
      <c r="AL51" s="28">
        <f>'peak area'!D51</f>
        <v>0.4</v>
      </c>
      <c r="AM51" s="6">
        <f>'peak area'!E51</f>
        <v>0.02</v>
      </c>
      <c r="AN51" s="21">
        <f t="shared" si="2"/>
        <v>0.4</v>
      </c>
      <c r="AO51" s="21">
        <f t="shared" ref="AO51:AP51" si="74">D51</f>
        <v>-24.124416751195479</v>
      </c>
      <c r="AP51" s="23">
        <f t="shared" si="74"/>
        <v>1.2062208375597741</v>
      </c>
      <c r="AQ51" s="6">
        <f t="shared" si="4"/>
        <v>0.6873000043502332</v>
      </c>
      <c r="AR51" s="15"/>
      <c r="AS51" s="6"/>
      <c r="AT51" s="16"/>
    </row>
    <row r="52" spans="1:47" ht="12.75" customHeight="1">
      <c r="D52" s="15"/>
      <c r="E52" s="6"/>
      <c r="V52" s="6"/>
      <c r="AK52" s="17"/>
      <c r="AL52" s="28"/>
      <c r="AM52" s="6"/>
      <c r="AN52" s="21"/>
      <c r="AO52" s="21"/>
      <c r="AP52" s="23"/>
      <c r="AR52" s="15"/>
      <c r="AS52" s="6"/>
      <c r="AT52" s="16"/>
    </row>
    <row r="53" spans="1:47" ht="12.75" customHeight="1">
      <c r="A53" s="2" t="str">
        <f>CONCATENATE(overview!$C3," ",overview!$D3)</f>
        <v>a-pin, 1-buOH cont flow bag, top</v>
      </c>
      <c r="B53" s="1" t="s">
        <v>107</v>
      </c>
      <c r="C53" s="1">
        <v>100</v>
      </c>
      <c r="D53" s="15">
        <f t="shared" ref="D53:D59" si="75">W53</f>
        <v>-26.72328648022026</v>
      </c>
      <c r="E53" s="6">
        <f t="shared" ref="E53:E59" si="76">ABS(W53/100*5)</f>
        <v>1.336164324011013</v>
      </c>
      <c r="V53" s="6"/>
      <c r="W53" s="6">
        <f>'IRMS data'!$G219</f>
        <v>-26.72328648022026</v>
      </c>
      <c r="AK53" s="17"/>
      <c r="AL53" s="28">
        <f>'peak area'!D53</f>
        <v>4.2</v>
      </c>
      <c r="AM53" s="6">
        <f>'peak area'!E53</f>
        <v>0.21000000000000002</v>
      </c>
      <c r="AN53" s="21">
        <f t="array" ref="AN53:AN59">AL53:AL59-AL$38:AL$44</f>
        <v>4.1000000000000005</v>
      </c>
      <c r="AO53" s="21">
        <f t="array" ref="AO53:AO59">( (AL53:AL59)*(D53:D59)-(AL$38:AL$44)*(D$38:D$44))/(AN53:AN59)</f>
        <v>-26.867126362033073</v>
      </c>
      <c r="AP53" s="23">
        <f t="array" ref="AP53:AP59">SQRT( 1/AN53:AN59^2 * (  ( (D53:D59-D$38:D$44)/AN53:AN59 )^2 * ( (AL$38:AL$44*AM53:AM59)^2 + (AL53:AL59*AM$38:AM$44)^2 ) + (AL53:AL59*E53:E59)^2 + (AL$38:AL$44*E$38:E$44)^2 )  )</f>
        <v>1.3687778677341913</v>
      </c>
      <c r="AQ53" s="6">
        <f t="shared" ref="AQ53:AQ101" si="77">1/AP53^2</f>
        <v>0.53374528471938287</v>
      </c>
      <c r="AR53" s="15">
        <f t="shared" ref="AR53:AS53" si="78">AO53</f>
        <v>-26.867126362033073</v>
      </c>
      <c r="AS53" s="6">
        <f t="shared" si="78"/>
        <v>1.3687778677341913</v>
      </c>
      <c r="AT53" s="15">
        <f t="shared" ref="AT53:AT73" si="79">AR53--29.96</f>
        <v>3.0928736379669282</v>
      </c>
      <c r="AU53" s="6">
        <f t="shared" ref="AU53:AU73" si="80">SQRT(AS53^2+0.08^2)</f>
        <v>1.3711137265737512</v>
      </c>
    </row>
    <row r="54" spans="1:47" ht="12.75" customHeight="1">
      <c r="C54" s="2">
        <f t="shared" ref="C54:C57" si="81">C53+50</f>
        <v>150</v>
      </c>
      <c r="D54" s="15">
        <f t="shared" si="75"/>
        <v>-29.12224315316621</v>
      </c>
      <c r="E54" s="6">
        <f t="shared" si="76"/>
        <v>1.4561121576583105</v>
      </c>
      <c r="V54" s="6"/>
      <c r="W54" s="6">
        <f>'IRMS data'!$G220</f>
        <v>-29.12224315316621</v>
      </c>
      <c r="AK54" s="17"/>
      <c r="AL54" s="28">
        <f>'peak area'!D54</f>
        <v>14</v>
      </c>
      <c r="AM54" s="6">
        <f>'peak area'!E54</f>
        <v>0.70000000000000007</v>
      </c>
      <c r="AN54" s="21">
        <v>13.85</v>
      </c>
      <c r="AO54" s="21">
        <v>-29.195857347101374</v>
      </c>
      <c r="AP54" s="23">
        <v>1.4723176911288198</v>
      </c>
      <c r="AQ54" s="6">
        <f t="shared" si="77"/>
        <v>0.4613143230440836</v>
      </c>
      <c r="AR54" s="15">
        <f t="shared" ref="AR54:AS54" si="82">AO54</f>
        <v>-29.195857347101374</v>
      </c>
      <c r="AS54" s="6">
        <f t="shared" si="82"/>
        <v>1.4723176911288198</v>
      </c>
      <c r="AT54" s="15">
        <f t="shared" si="79"/>
        <v>0.76414265289862726</v>
      </c>
      <c r="AU54" s="6">
        <f t="shared" si="80"/>
        <v>1.4744895332320604</v>
      </c>
    </row>
    <row r="55" spans="1:47" ht="12.75" customHeight="1">
      <c r="C55" s="2">
        <f t="shared" si="81"/>
        <v>200</v>
      </c>
      <c r="D55" s="15">
        <f t="shared" si="75"/>
        <v>-28.822373569047965</v>
      </c>
      <c r="E55" s="6">
        <f t="shared" si="76"/>
        <v>1.4411186784523982</v>
      </c>
      <c r="V55" s="6"/>
      <c r="W55" s="6">
        <f>'IRMS data'!$G221</f>
        <v>-28.822373569047965</v>
      </c>
      <c r="AK55" s="17"/>
      <c r="AL55" s="28">
        <f>'peak area'!D55</f>
        <v>8.5</v>
      </c>
      <c r="AM55" s="6">
        <f>'peak area'!E55</f>
        <v>0.42500000000000004</v>
      </c>
      <c r="AN55" s="21">
        <v>8.3000000000000007</v>
      </c>
      <c r="AO55" s="21">
        <v>-28.968093326792168</v>
      </c>
      <c r="AP55" s="23">
        <v>1.4759428880104239</v>
      </c>
      <c r="AQ55" s="6">
        <f t="shared" si="77"/>
        <v>0.45905095439020882</v>
      </c>
      <c r="AR55" s="15">
        <f t="shared" ref="AR55:AS55" si="83">AO55</f>
        <v>-28.968093326792168</v>
      </c>
      <c r="AS55" s="6">
        <f t="shared" si="83"/>
        <v>1.4759428880104239</v>
      </c>
      <c r="AT55" s="15">
        <f t="shared" si="79"/>
        <v>0.99190667320783277</v>
      </c>
      <c r="AU55" s="6">
        <f t="shared" si="80"/>
        <v>1.4781094034842452</v>
      </c>
    </row>
    <row r="56" spans="1:47" ht="12.75" customHeight="1">
      <c r="C56" s="2">
        <f t="shared" si="81"/>
        <v>250</v>
      </c>
      <c r="D56" s="15">
        <f t="shared" si="75"/>
        <v>-28.622460512969134</v>
      </c>
      <c r="E56" s="6">
        <f t="shared" si="76"/>
        <v>1.4311230256484566</v>
      </c>
      <c r="V56" s="6"/>
      <c r="W56" s="6">
        <f>'IRMS data'!$G222</f>
        <v>-28.622460512969134</v>
      </c>
      <c r="AK56" s="17"/>
      <c r="AL56" s="28">
        <f>'peak area'!D56</f>
        <v>5.6</v>
      </c>
      <c r="AM56" s="6">
        <f>'peak area'!E56</f>
        <v>0.27999999999999997</v>
      </c>
      <c r="AN56" s="21">
        <v>5.3</v>
      </c>
      <c r="AO56" s="21">
        <v>-28.879895721976304</v>
      </c>
      <c r="AP56" s="23">
        <v>1.5191410560121947</v>
      </c>
      <c r="AQ56" s="6">
        <f t="shared" si="77"/>
        <v>0.43331507452221163</v>
      </c>
      <c r="AR56" s="15">
        <f t="shared" ref="AR56:AS56" si="84">AO56</f>
        <v>-28.879895721976304</v>
      </c>
      <c r="AS56" s="6">
        <f t="shared" si="84"/>
        <v>1.5191410560121947</v>
      </c>
      <c r="AT56" s="15">
        <f t="shared" si="79"/>
        <v>1.0801042780236969</v>
      </c>
      <c r="AU56" s="6">
        <f t="shared" si="80"/>
        <v>1.5212460511244874</v>
      </c>
    </row>
    <row r="57" spans="1:47" ht="12.75" customHeight="1">
      <c r="C57" s="2">
        <f t="shared" si="81"/>
        <v>300</v>
      </c>
      <c r="D57" s="15">
        <f t="shared" si="75"/>
        <v>-29.522069265323868</v>
      </c>
      <c r="E57" s="6">
        <f t="shared" si="76"/>
        <v>1.4761034632661936</v>
      </c>
      <c r="V57" s="6"/>
      <c r="W57" s="6">
        <f>'IRMS data'!$G223</f>
        <v>-29.522069265323868</v>
      </c>
      <c r="AK57" s="17"/>
      <c r="AL57" s="28">
        <f>'peak area'!D57</f>
        <v>5.6</v>
      </c>
      <c r="AM57" s="6">
        <f>'peak area'!E57</f>
        <v>0.27999999999999997</v>
      </c>
      <c r="AN57" s="21">
        <v>5.35</v>
      </c>
      <c r="AO57" s="21">
        <v>-29.76028342093182</v>
      </c>
      <c r="AP57" s="23">
        <v>1.5467533544303107</v>
      </c>
      <c r="AQ57" s="6">
        <f t="shared" si="77"/>
        <v>0.41798227642856467</v>
      </c>
      <c r="AR57" s="15">
        <f t="shared" ref="AR57:AS57" si="85">AO57</f>
        <v>-29.76028342093182</v>
      </c>
      <c r="AS57" s="6">
        <f t="shared" si="85"/>
        <v>1.5467533544303107</v>
      </c>
      <c r="AT57" s="15">
        <f t="shared" si="79"/>
        <v>0.19971657906818052</v>
      </c>
      <c r="AU57" s="6">
        <f t="shared" si="80"/>
        <v>1.5488208222520186</v>
      </c>
    </row>
    <row r="58" spans="1:47" ht="12.75" customHeight="1">
      <c r="C58" s="1">
        <v>340</v>
      </c>
      <c r="D58" s="15">
        <f t="shared" si="75"/>
        <v>-29.721982321402699</v>
      </c>
      <c r="E58" s="6">
        <f t="shared" si="76"/>
        <v>1.4860991160701351</v>
      </c>
      <c r="V58" s="6"/>
      <c r="W58" s="6">
        <f>'IRMS data'!$G224</f>
        <v>-29.721982321402699</v>
      </c>
      <c r="AK58" s="17"/>
      <c r="AL58" s="28">
        <f>'peak area'!D58</f>
        <v>6.1</v>
      </c>
      <c r="AM58" s="6">
        <f>'peak area'!E58</f>
        <v>0.30499999999999999</v>
      </c>
      <c r="AN58" s="21">
        <v>5.75</v>
      </c>
      <c r="AO58" s="21">
        <v>-30.038366462327453</v>
      </c>
      <c r="AP58" s="23">
        <v>1.5783152935038804</v>
      </c>
      <c r="AQ58" s="6">
        <f t="shared" si="77"/>
        <v>0.40143244492821628</v>
      </c>
      <c r="AR58" s="15">
        <f t="shared" ref="AR58:AS58" si="86">AO58</f>
        <v>-30.038366462327453</v>
      </c>
      <c r="AS58" s="6">
        <f t="shared" si="86"/>
        <v>1.5783152935038804</v>
      </c>
      <c r="AT58" s="15">
        <f t="shared" si="79"/>
        <v>-7.8366462327451814E-2</v>
      </c>
      <c r="AU58" s="6">
        <f t="shared" si="80"/>
        <v>1.5803414712359605</v>
      </c>
    </row>
    <row r="59" spans="1:47" ht="12.75" customHeight="1">
      <c r="C59" s="1">
        <v>390</v>
      </c>
      <c r="D59" s="15">
        <f t="shared" si="75"/>
        <v>-29.522069265323868</v>
      </c>
      <c r="E59" s="6">
        <f t="shared" si="76"/>
        <v>1.4761034632661936</v>
      </c>
      <c r="V59" s="6"/>
      <c r="W59" s="6">
        <f>'IRMS data'!$G225</f>
        <v>-29.522069265323868</v>
      </c>
      <c r="AK59" s="17"/>
      <c r="AL59" s="28">
        <f>'peak area'!D59</f>
        <v>6.7</v>
      </c>
      <c r="AM59" s="6">
        <f>'peak area'!E59</f>
        <v>0.33500000000000002</v>
      </c>
      <c r="AN59" s="21">
        <v>6.05</v>
      </c>
      <c r="AO59" s="21">
        <v>-30.166417132024229</v>
      </c>
      <c r="AP59" s="23">
        <v>1.6920766860197831</v>
      </c>
      <c r="AQ59" s="6">
        <f t="shared" si="77"/>
        <v>0.34926890021622253</v>
      </c>
      <c r="AR59" s="15">
        <f t="shared" ref="AR59:AS59" si="87">AO59</f>
        <v>-30.166417132024229</v>
      </c>
      <c r="AS59" s="6">
        <f t="shared" si="87"/>
        <v>1.6920766860197831</v>
      </c>
      <c r="AT59" s="15">
        <f t="shared" si="79"/>
        <v>-0.20641713202422807</v>
      </c>
      <c r="AU59" s="6">
        <f t="shared" si="80"/>
        <v>1.6939667976001453</v>
      </c>
    </row>
    <row r="60" spans="1:47" ht="12.75" customHeight="1">
      <c r="A60" s="2" t="str">
        <f>CONCATENATE(overview!$C4," ",overview!$D4)</f>
        <v>a-pin, 1-buOH cont flow bag, bottom</v>
      </c>
      <c r="B60" s="1" t="s">
        <v>109</v>
      </c>
      <c r="C60" s="1">
        <v>100</v>
      </c>
      <c r="D60" s="21">
        <f t="shared" ref="D60:D66" si="88">AVERAGE(X60:Y60)</f>
        <v>-26.523373424141433</v>
      </c>
      <c r="E60" s="6">
        <f t="shared" ref="E60:E66" si="89">STDEV(X60:Y60)</f>
        <v>0.14135987760106791</v>
      </c>
      <c r="V60" s="6"/>
      <c r="W60" s="6"/>
      <c r="X60" s="6">
        <f>'IRMS data'!$G135</f>
        <v>-26.423416896102015</v>
      </c>
      <c r="Y60" s="6">
        <f>'IRMS data'!$G177</f>
        <v>-26.623329952180846</v>
      </c>
      <c r="AK60" s="17"/>
      <c r="AL60" s="28">
        <f>'peak area'!D60</f>
        <v>2.2999999999999998</v>
      </c>
      <c r="AM60" s="6">
        <f>'peak area'!E60</f>
        <v>0.11499999999999999</v>
      </c>
      <c r="AN60" s="21">
        <f t="array" ref="AN60:AN66">AL60:AL66-AL$3:AL$9</f>
        <v>2.0666666666666664</v>
      </c>
      <c r="AO60" s="21">
        <f t="array" ref="AO60:AO66">( (AL60:AL66)*(D60:D66)-(AL$3:AL$9)*(D$3:D$9))/(AN60:AN66)</f>
        <v>-27.057549708395079</v>
      </c>
      <c r="AP60" s="23">
        <f t="array" ref="AP60:AP66">SQRT( 1/AN60:AN66^2 * (  ( (D60:D66-D$3:D$9)/AN60:AN66 )^2 * ( (AL$3:AL$9*AM60:AM66)^2 + (AL60:AL66*AM$3:AM$9)^2 ) + (AL60:AL66*E60:E66)^2 + (AL$3:AL$9*E$3:E$9)^2 )  )</f>
        <v>0.36872224859370945</v>
      </c>
      <c r="AQ60" s="6">
        <f t="shared" si="77"/>
        <v>7.3553156125339081</v>
      </c>
      <c r="AR60" s="15">
        <f t="shared" ref="AR60:AS60" si="90">AO60</f>
        <v>-27.057549708395079</v>
      </c>
      <c r="AS60" s="6">
        <f t="shared" si="90"/>
        <v>0.36872224859370945</v>
      </c>
      <c r="AT60" s="15">
        <f t="shared" si="79"/>
        <v>2.9024502916049215</v>
      </c>
      <c r="AU60" s="6">
        <f t="shared" si="80"/>
        <v>0.37730106891977028</v>
      </c>
    </row>
    <row r="61" spans="1:47" ht="12.75" customHeight="1">
      <c r="C61" s="2">
        <f t="shared" ref="C61:C64" si="91">C60+50</f>
        <v>150</v>
      </c>
      <c r="D61" s="21">
        <f t="shared" si="88"/>
        <v>-30.421678017678602</v>
      </c>
      <c r="E61" s="6">
        <f t="shared" si="89"/>
        <v>0.14135987760106791</v>
      </c>
      <c r="V61" s="6"/>
      <c r="W61" s="6"/>
      <c r="X61" s="6">
        <f>'IRMS data'!$G136</f>
        <v>-30.521634545718015</v>
      </c>
      <c r="Y61" s="6">
        <f>'IRMS data'!$G178</f>
        <v>-30.321721489639184</v>
      </c>
      <c r="AK61" s="17"/>
      <c r="AL61" s="28">
        <f>'peak area'!D61</f>
        <v>7.9</v>
      </c>
      <c r="AM61" s="6">
        <f>'peak area'!E61</f>
        <v>0.39500000000000002</v>
      </c>
      <c r="AN61" s="21">
        <v>7.6000000000000005</v>
      </c>
      <c r="AO61" s="21">
        <v>-30.686036729993369</v>
      </c>
      <c r="AP61" s="23">
        <v>0.16153169780005325</v>
      </c>
      <c r="AQ61" s="6">
        <f t="shared" si="77"/>
        <v>38.325204808688092</v>
      </c>
      <c r="AR61" s="15">
        <f t="shared" ref="AR61:AS61" si="92">AO61</f>
        <v>-30.686036729993369</v>
      </c>
      <c r="AS61" s="6">
        <f t="shared" si="92"/>
        <v>0.16153169780005325</v>
      </c>
      <c r="AT61" s="15">
        <f t="shared" si="79"/>
        <v>-0.72603672999336766</v>
      </c>
      <c r="AU61" s="6">
        <f t="shared" si="80"/>
        <v>0.18025673189694671</v>
      </c>
    </row>
    <row r="62" spans="1:47" ht="12.75" customHeight="1">
      <c r="C62" s="2">
        <f t="shared" si="91"/>
        <v>200</v>
      </c>
      <c r="D62" s="21">
        <f t="shared" si="88"/>
        <v>-29.921895377481526</v>
      </c>
      <c r="E62" s="6">
        <f t="shared" si="89"/>
        <v>0.14135987760106791</v>
      </c>
      <c r="V62" s="6"/>
      <c r="W62" s="6"/>
      <c r="X62" s="6">
        <f>'IRMS data'!$G137</f>
        <v>-30.02185190552094</v>
      </c>
      <c r="Y62" s="6">
        <f>'IRMS data'!$G179</f>
        <v>-29.821938849442109</v>
      </c>
      <c r="AK62" s="17"/>
      <c r="AL62" s="28">
        <f>'peak area'!D62</f>
        <v>6.4</v>
      </c>
      <c r="AM62" s="6">
        <f>'peak area'!E62</f>
        <v>0.32</v>
      </c>
      <c r="AN62" s="21">
        <v>6.1333333333333337</v>
      </c>
      <c r="AO62" s="21">
        <v>-30.244943286942245</v>
      </c>
      <c r="AP62" s="23">
        <v>0.18709702471486253</v>
      </c>
      <c r="AQ62" s="6">
        <f t="shared" si="77"/>
        <v>28.567105423905453</v>
      </c>
      <c r="AR62" s="15">
        <f t="shared" ref="AR62:AS62" si="93">AO62</f>
        <v>-30.244943286942245</v>
      </c>
      <c r="AS62" s="6">
        <f t="shared" si="93"/>
        <v>0.18709702471486253</v>
      </c>
      <c r="AT62" s="15">
        <f t="shared" si="79"/>
        <v>-0.28494328694224436</v>
      </c>
      <c r="AU62" s="6">
        <f t="shared" si="80"/>
        <v>0.2034829149023423</v>
      </c>
    </row>
    <row r="63" spans="1:47" ht="12.75" customHeight="1">
      <c r="C63" s="2">
        <f t="shared" si="91"/>
        <v>250</v>
      </c>
      <c r="D63" s="21">
        <f t="shared" si="88"/>
        <v>-28.772395305028258</v>
      </c>
      <c r="E63" s="6">
        <f t="shared" si="89"/>
        <v>7.0679938800532693E-2</v>
      </c>
      <c r="V63" s="6"/>
      <c r="W63" s="6"/>
      <c r="X63" s="6">
        <f>'IRMS data'!$G138</f>
        <v>-28.722417041008551</v>
      </c>
      <c r="Y63" s="6">
        <f>'IRMS data'!$G180</f>
        <v>-28.822373569047965</v>
      </c>
      <c r="AK63" s="17"/>
      <c r="AL63" s="28">
        <f>'peak area'!D63</f>
        <v>6</v>
      </c>
      <c r="AM63" s="6">
        <f>'peak area'!E63</f>
        <v>0.3</v>
      </c>
      <c r="AN63" s="21">
        <v>5.5666666666666664</v>
      </c>
      <c r="AO63" s="21">
        <v>-29.113464535933211</v>
      </c>
      <c r="AP63" s="23">
        <v>9.2850886558425702E-2</v>
      </c>
      <c r="AQ63" s="6">
        <f t="shared" si="77"/>
        <v>115.99196087284284</v>
      </c>
      <c r="AR63" s="15">
        <f t="shared" ref="AR63:AS63" si="94">AO63</f>
        <v>-29.113464535933211</v>
      </c>
      <c r="AS63" s="6">
        <f t="shared" si="94"/>
        <v>9.2850886558425702E-2</v>
      </c>
      <c r="AT63" s="15">
        <f t="shared" si="79"/>
        <v>0.8465354640667897</v>
      </c>
      <c r="AU63" s="6">
        <f t="shared" si="80"/>
        <v>0.12256136069204535</v>
      </c>
    </row>
    <row r="64" spans="1:47" ht="12.75" customHeight="1">
      <c r="C64" s="2">
        <f t="shared" si="91"/>
        <v>300</v>
      </c>
      <c r="D64" s="21">
        <f t="shared" si="88"/>
        <v>-28.722417041008551</v>
      </c>
      <c r="E64" s="6">
        <f t="shared" si="89"/>
        <v>0</v>
      </c>
      <c r="V64" s="6"/>
      <c r="W64" s="6"/>
      <c r="X64" s="6">
        <f>'IRMS data'!$G139</f>
        <v>-28.722417041008551</v>
      </c>
      <c r="Y64" s="6">
        <f>'IRMS data'!$G181</f>
        <v>-28.722417041008551</v>
      </c>
      <c r="AK64" s="17"/>
      <c r="AL64" s="28">
        <f>'peak area'!D64</f>
        <v>7.5</v>
      </c>
      <c r="AM64" s="6">
        <f>'peak area'!E64</f>
        <v>0.375</v>
      </c>
      <c r="AN64" s="21">
        <v>7.166666666666667</v>
      </c>
      <c r="AO64" s="21">
        <v>-28.895984965666138</v>
      </c>
      <c r="AP64" s="23">
        <v>4.7399091447732092E-2</v>
      </c>
      <c r="AQ64" s="6">
        <f t="shared" si="77"/>
        <v>445.10243045139163</v>
      </c>
      <c r="AR64" s="15">
        <f t="shared" ref="AR64:AS64" si="95">AO64</f>
        <v>-28.895984965666138</v>
      </c>
      <c r="AS64" s="6">
        <f t="shared" si="95"/>
        <v>4.7399091447732092E-2</v>
      </c>
      <c r="AT64" s="15">
        <f t="shared" si="79"/>
        <v>1.0640150343338632</v>
      </c>
      <c r="AU64" s="6">
        <f t="shared" si="80"/>
        <v>9.2987493084126474E-2</v>
      </c>
    </row>
    <row r="65" spans="1:47" ht="12.75" customHeight="1">
      <c r="C65" s="1">
        <v>340</v>
      </c>
      <c r="D65" s="21">
        <f t="shared" si="88"/>
        <v>-28.3725691928706</v>
      </c>
      <c r="E65" s="6">
        <f t="shared" si="89"/>
        <v>7.0679938800532693E-2</v>
      </c>
      <c r="V65" s="6"/>
      <c r="W65" s="6"/>
      <c r="X65" s="6">
        <f>'IRMS data'!$G140</f>
        <v>-28.422547456890307</v>
      </c>
      <c r="Y65" s="6">
        <f>'IRMS data'!$G182</f>
        <v>-28.322590928850893</v>
      </c>
      <c r="AK65" s="17"/>
      <c r="AL65" s="28">
        <f>'peak area'!D65</f>
        <v>9.1</v>
      </c>
      <c r="AM65" s="6">
        <f>'peak area'!E65</f>
        <v>0.45499999999999996</v>
      </c>
      <c r="AN65" s="21">
        <v>8.6666666666666661</v>
      </c>
      <c r="AO65" s="21">
        <v>-28.556655798676523</v>
      </c>
      <c r="AP65" s="23">
        <v>0.10084278658457325</v>
      </c>
      <c r="AQ65" s="6">
        <f t="shared" si="77"/>
        <v>98.335498556065559</v>
      </c>
      <c r="AR65" s="15">
        <f t="shared" ref="AR65:AS65" si="96">AO65</f>
        <v>-28.556655798676523</v>
      </c>
      <c r="AS65" s="6">
        <f t="shared" si="96"/>
        <v>0.10084278658457325</v>
      </c>
      <c r="AT65" s="15">
        <f t="shared" si="79"/>
        <v>1.4033442013234776</v>
      </c>
      <c r="AU65" s="6">
        <f t="shared" si="80"/>
        <v>0.12872166719764699</v>
      </c>
    </row>
    <row r="66" spans="1:47" ht="12.75" customHeight="1">
      <c r="C66" s="1">
        <v>390</v>
      </c>
      <c r="D66" s="21">
        <f t="shared" si="88"/>
        <v>-28.672438776988844</v>
      </c>
      <c r="E66" s="6">
        <f t="shared" si="89"/>
        <v>0.21203981640159808</v>
      </c>
      <c r="V66" s="6"/>
      <c r="W66" s="6"/>
      <c r="X66" s="6">
        <f>'IRMS data'!$G141</f>
        <v>-28.522503984929724</v>
      </c>
      <c r="Y66" s="6">
        <f>'IRMS data'!$G183</f>
        <v>-28.822373569047965</v>
      </c>
      <c r="AK66" s="17"/>
      <c r="AL66" s="28">
        <f>'peak area'!D66</f>
        <v>12.2</v>
      </c>
      <c r="AM66" s="6">
        <f>'peak area'!E66</f>
        <v>0.61</v>
      </c>
      <c r="AN66" s="21">
        <v>11.566666666666666</v>
      </c>
      <c r="AO66" s="21">
        <v>-28.812003439337818</v>
      </c>
      <c r="AP66" s="23">
        <v>0.24400970488733889</v>
      </c>
      <c r="AQ66" s="6">
        <f t="shared" si="77"/>
        <v>16.795224007135449</v>
      </c>
      <c r="AR66" s="15">
        <f t="shared" ref="AR66:AS66" si="97">AO66</f>
        <v>-28.812003439337818</v>
      </c>
      <c r="AS66" s="6">
        <f t="shared" si="97"/>
        <v>0.24400970488733889</v>
      </c>
      <c r="AT66" s="15">
        <f t="shared" si="79"/>
        <v>1.1479965606621825</v>
      </c>
      <c r="AU66" s="6">
        <f t="shared" si="80"/>
        <v>0.25678928341970625</v>
      </c>
    </row>
    <row r="67" spans="1:47" ht="12.75" customHeight="1">
      <c r="A67" s="2" t="str">
        <f>CONCATENATE(overview!$C5," ",overview!$D5)</f>
        <v>a-pin, 1-buOH cont flow bag, top</v>
      </c>
      <c r="B67" s="1" t="s">
        <v>111</v>
      </c>
      <c r="C67" s="1">
        <v>100</v>
      </c>
      <c r="D67" s="15">
        <f t="shared" ref="D67:D73" si="98">Z67</f>
        <v>-27.023156064338504</v>
      </c>
      <c r="E67" s="6">
        <f t="shared" ref="E67:E73" si="99">ABS(Z67/100*5)</f>
        <v>1.3511578032169251</v>
      </c>
      <c r="V67" s="6"/>
      <c r="Z67" s="6">
        <f>'IRMS data'!$G142</f>
        <v>-27.023156064338504</v>
      </c>
      <c r="AK67" s="17"/>
      <c r="AL67" s="28">
        <f>'peak area'!D74</f>
        <v>20</v>
      </c>
      <c r="AM67" s="6">
        <f>'peak area'!E74</f>
        <v>1</v>
      </c>
      <c r="AN67" s="21">
        <f t="array" ref="AN67:AN73">AL67:AL73-AL$24:AL$30</f>
        <v>19.833333333333332</v>
      </c>
      <c r="AO67" s="21">
        <f t="array" ref="AO67:AO73">( (AL67:AL73)*(D67:D73)-(AL$24:AL$30)*(D$24:D$30))/(AN67:AN73)</f>
        <v>-27.080834060910266</v>
      </c>
      <c r="AP67" s="23">
        <f t="array" ref="AP67:AP73">SQRT( 1/AN67:AN73^2 * (  ( (D67:D73-D$24:D$30)/AN67:AN73 )^2 * ( (AL$24:AL$30*AM67:AM73)^2 + (AL67:AL73*AM$24:AM$30)^2 ) + (AL67:AL73*E67:E73)^2 + (AL$24:AL$30*E$24:E$30)^2 )  )</f>
        <v>1.3626849329342479</v>
      </c>
      <c r="AQ67" s="6">
        <f t="shared" si="77"/>
        <v>0.53852899604841087</v>
      </c>
      <c r="AR67" s="15">
        <v>-27.12491301</v>
      </c>
      <c r="AS67" s="6">
        <f t="shared" ref="AS67:AS73" si="100">SQRT( 1/SUM(AQ67,AQ74) )</f>
        <v>0.16869686257064531</v>
      </c>
      <c r="AT67" s="15">
        <f t="shared" si="79"/>
        <v>2.8350869900000006</v>
      </c>
      <c r="AU67" s="6">
        <f t="shared" si="80"/>
        <v>0.1867046636835277</v>
      </c>
    </row>
    <row r="68" spans="1:47" ht="12.75" customHeight="1">
      <c r="C68" s="2">
        <f t="shared" ref="C68:C71" si="101">C67+50</f>
        <v>150</v>
      </c>
      <c r="D68" s="32">
        <f t="shared" si="98"/>
        <v>-104.88929140704246</v>
      </c>
      <c r="E68" s="33">
        <f t="shared" si="99"/>
        <v>5.2444645703521235</v>
      </c>
      <c r="V68" s="6"/>
      <c r="Z68" s="33">
        <f>'IRMS data'!$G143</f>
        <v>-104.88929140704246</v>
      </c>
      <c r="AK68" s="17"/>
      <c r="AL68" s="28">
        <f>'peak area'!D75</f>
        <v>66.400000000000006</v>
      </c>
      <c r="AM68" s="6">
        <f>'peak area'!E75</f>
        <v>3.3200000000000003</v>
      </c>
      <c r="AN68" s="21">
        <v>66.2</v>
      </c>
      <c r="AO68" s="21">
        <v>-105.14114561968559</v>
      </c>
      <c r="AP68" s="23">
        <v>5.2603240469623476</v>
      </c>
      <c r="AQ68" s="6">
        <f t="shared" si="77"/>
        <v>3.6138906143364978E-2</v>
      </c>
      <c r="AR68" s="15">
        <v>-28.75041594</v>
      </c>
      <c r="AS68" s="6">
        <f t="shared" si="100"/>
        <v>5.8373138927442635E-2</v>
      </c>
      <c r="AT68" s="15">
        <f t="shared" si="79"/>
        <v>1.209584060000001</v>
      </c>
      <c r="AU68" s="6">
        <f t="shared" si="80"/>
        <v>9.9032435839186139E-2</v>
      </c>
    </row>
    <row r="69" spans="1:47" ht="12.75" customHeight="1">
      <c r="C69" s="2">
        <f t="shared" si="101"/>
        <v>200</v>
      </c>
      <c r="D69" s="15">
        <f t="shared" si="98"/>
        <v>-28.622460512969134</v>
      </c>
      <c r="E69" s="6">
        <f t="shared" si="99"/>
        <v>1.4311230256484566</v>
      </c>
      <c r="V69" s="6"/>
      <c r="Z69" s="6">
        <f>'IRMS data'!$G144</f>
        <v>-28.622460512969134</v>
      </c>
      <c r="AK69" s="17"/>
      <c r="AL69" s="28">
        <f>'peak area'!D76</f>
        <v>27.4</v>
      </c>
      <c r="AM69" s="6">
        <f>'peak area'!E76</f>
        <v>1.3699999999999999</v>
      </c>
      <c r="AN69" s="21">
        <v>27.2</v>
      </c>
      <c r="AO69" s="21">
        <v>-28.666803972712106</v>
      </c>
      <c r="AP69" s="23">
        <v>1.4416494677874903</v>
      </c>
      <c r="AQ69" s="6">
        <f t="shared" si="77"/>
        <v>0.48115017494971329</v>
      </c>
      <c r="AR69" s="15">
        <v>-28.447295270000001</v>
      </c>
      <c r="AS69" s="6">
        <f t="shared" si="100"/>
        <v>5.9333672283038201E-2</v>
      </c>
      <c r="AT69" s="15">
        <f t="shared" si="79"/>
        <v>1.5127047299999994</v>
      </c>
      <c r="AU69" s="6">
        <f t="shared" si="80"/>
        <v>9.9601629839029121E-2</v>
      </c>
    </row>
    <row r="70" spans="1:47" ht="12.75" customHeight="1">
      <c r="C70" s="2">
        <f t="shared" si="101"/>
        <v>250</v>
      </c>
      <c r="D70" s="15">
        <f t="shared" si="98"/>
        <v>-28.522503984929724</v>
      </c>
      <c r="E70" s="6">
        <f t="shared" si="99"/>
        <v>1.4261251992464863</v>
      </c>
      <c r="V70" s="6"/>
      <c r="Z70" s="6">
        <f>'IRMS data'!$G145</f>
        <v>-28.522503984929724</v>
      </c>
      <c r="AK70" s="17"/>
      <c r="AL70" s="28">
        <f>'peak area'!D77</f>
        <v>11.5</v>
      </c>
      <c r="AM70" s="6">
        <f>'peak area'!E77</f>
        <v>0.57500000000000007</v>
      </c>
      <c r="AN70" s="21">
        <v>11.2</v>
      </c>
      <c r="AO70" s="21">
        <v>-28.667083962986737</v>
      </c>
      <c r="AP70" s="23">
        <v>1.4643535845459259</v>
      </c>
      <c r="AQ70" s="6">
        <f t="shared" si="77"/>
        <v>0.46634582248159007</v>
      </c>
      <c r="AR70" s="15">
        <v>-28.31860936</v>
      </c>
      <c r="AS70" s="6">
        <f t="shared" si="100"/>
        <v>0.1222413899228703</v>
      </c>
      <c r="AT70" s="15">
        <f t="shared" si="79"/>
        <v>1.6413906400000009</v>
      </c>
      <c r="AU70" s="6">
        <f t="shared" si="80"/>
        <v>0.14609229072841323</v>
      </c>
    </row>
    <row r="71" spans="1:47" ht="12.75" customHeight="1">
      <c r="C71" s="2">
        <f t="shared" si="101"/>
        <v>300</v>
      </c>
      <c r="D71" s="15">
        <f t="shared" si="98"/>
        <v>-28.722417041008551</v>
      </c>
      <c r="E71" s="6">
        <f t="shared" si="99"/>
        <v>1.4361208520504276</v>
      </c>
      <c r="V71" s="6"/>
      <c r="Z71" s="6">
        <f>'IRMS data'!$G146</f>
        <v>-28.722417041008551</v>
      </c>
      <c r="AK71" s="17"/>
      <c r="AL71" s="28">
        <f>'peak area'!D78</f>
        <v>10</v>
      </c>
      <c r="AM71" s="6">
        <f>'peak area'!E78</f>
        <v>0.5</v>
      </c>
      <c r="AN71" s="21">
        <v>9.7333333333333325</v>
      </c>
      <c r="AO71" s="21">
        <v>-28.876687846841076</v>
      </c>
      <c r="AP71" s="23">
        <v>1.4764973893755966</v>
      </c>
      <c r="AQ71" s="6">
        <f t="shared" si="77"/>
        <v>0.45870622423976698</v>
      </c>
      <c r="AR71" s="15">
        <v>-28.637878409999999</v>
      </c>
      <c r="AS71" s="6">
        <f t="shared" si="100"/>
        <v>0.33787721160206147</v>
      </c>
      <c r="AT71" s="15">
        <f t="shared" si="79"/>
        <v>1.3221215900000018</v>
      </c>
      <c r="AU71" s="6">
        <f t="shared" si="80"/>
        <v>0.34721896566861699</v>
      </c>
    </row>
    <row r="72" spans="1:47" ht="12.75" customHeight="1">
      <c r="C72" s="1">
        <v>340</v>
      </c>
      <c r="D72" s="15">
        <f t="shared" si="98"/>
        <v>-28.922330097087382</v>
      </c>
      <c r="E72" s="6">
        <f t="shared" si="99"/>
        <v>1.4461165048543692</v>
      </c>
      <c r="V72" s="6"/>
      <c r="Z72" s="6">
        <f>'IRMS data'!$G147</f>
        <v>-28.922330097087382</v>
      </c>
      <c r="AK72" s="17"/>
      <c r="AL72" s="28">
        <f>'peak area'!D79</f>
        <v>10.3</v>
      </c>
      <c r="AM72" s="6">
        <f>'peak area'!E79</f>
        <v>0.51500000000000001</v>
      </c>
      <c r="AN72" s="21">
        <v>9.9666666666666668</v>
      </c>
      <c r="AO72" s="21">
        <v>-29.098396222285015</v>
      </c>
      <c r="AP72" s="23">
        <v>1.4948465349722084</v>
      </c>
      <c r="AQ72" s="6">
        <f t="shared" si="77"/>
        <v>0.44751416024507584</v>
      </c>
      <c r="AR72" s="15">
        <v>-28.762099289999998</v>
      </c>
      <c r="AS72" s="6">
        <f t="shared" si="100"/>
        <v>0.3179373478574935</v>
      </c>
      <c r="AT72" s="15">
        <f t="shared" si="79"/>
        <v>1.1979007100000025</v>
      </c>
      <c r="AU72" s="6">
        <f t="shared" si="80"/>
        <v>0.32784776522443587</v>
      </c>
    </row>
    <row r="73" spans="1:47" ht="12.75" customHeight="1">
      <c r="C73" s="1">
        <v>390</v>
      </c>
      <c r="D73" s="15">
        <f t="shared" si="98"/>
        <v>-28.922330097087382</v>
      </c>
      <c r="E73" s="6">
        <f t="shared" si="99"/>
        <v>1.4461165048543692</v>
      </c>
      <c r="V73" s="6"/>
      <c r="Z73" s="6">
        <f>'IRMS data'!$G148</f>
        <v>-28.922330097087382</v>
      </c>
      <c r="AK73" s="17"/>
      <c r="AL73" s="28">
        <f>'peak area'!D80</f>
        <v>10.5</v>
      </c>
      <c r="AM73" s="6">
        <f>'peak area'!E80</f>
        <v>0.52500000000000002</v>
      </c>
      <c r="AN73" s="21">
        <v>9.9333333333333336</v>
      </c>
      <c r="AO73" s="21">
        <v>-29.21504395660325</v>
      </c>
      <c r="AP73" s="23">
        <v>1.5361395348148272</v>
      </c>
      <c r="AQ73" s="6">
        <f t="shared" si="77"/>
        <v>0.42377825368140987</v>
      </c>
      <c r="AR73" s="15">
        <v>-28.999891600000002</v>
      </c>
      <c r="AS73" s="6">
        <f t="shared" si="100"/>
        <v>0.30705592457511588</v>
      </c>
      <c r="AT73" s="15">
        <f t="shared" si="79"/>
        <v>0.96010839999999931</v>
      </c>
      <c r="AU73" s="6">
        <f t="shared" si="80"/>
        <v>0.31730638319560994</v>
      </c>
    </row>
    <row r="74" spans="1:47" ht="12.75" customHeight="1">
      <c r="B74" s="1" t="s">
        <v>112</v>
      </c>
      <c r="C74" s="1">
        <v>100</v>
      </c>
      <c r="D74" s="21">
        <f t="shared" ref="D74:D80" si="102">AVERAGE(AA74:AC74)</f>
        <v>-26.956518378978888</v>
      </c>
      <c r="E74" s="6">
        <f t="shared" ref="E74:E80" si="103">STDEV(AA74:AC74)</f>
        <v>0.15268611864852968</v>
      </c>
      <c r="V74" s="6"/>
      <c r="AA74" s="6">
        <f>'IRMS data'!$G149</f>
        <v>-27.123112592377915</v>
      </c>
      <c r="AB74" s="6">
        <f>'IRMS data'!$G156</f>
        <v>-26.923199536299087</v>
      </c>
      <c r="AC74" s="6">
        <f>'IRMS data'!$G163</f>
        <v>-26.823243008259674</v>
      </c>
      <c r="AK74" s="17"/>
      <c r="AL74" s="28">
        <f>'peak area'!D81</f>
        <v>3.4333333333333336</v>
      </c>
      <c r="AM74" s="6">
        <f>'peak area'!E81</f>
        <v>0.3511884584284245</v>
      </c>
      <c r="AN74" s="21">
        <f t="array" ref="AN74:AN80">AL74:AL80 - 0.5*(AL$24:AL$30)</f>
        <v>3.35</v>
      </c>
      <c r="AO74" s="21">
        <f t="array" ref="AO74:AO80">( (AL74:AL80)*(D74:D80)- 0.5*(AL$24:AL$30)*(D$24:D$30))/(AN74:AN80)</f>
        <v>-27.125599073174911</v>
      </c>
      <c r="AP74" s="23">
        <f t="array" ref="AP74:AP80">SQRT( 1/AN74:AN80^2 * (  ( (D74:D80-D$24:D$30)/AN74:AN80 )^2 * ( (0.5*(AL$24:AL$30)*AM74:AM80)^2 + (AL74:AL80*0.5*(AM$24:AM$30))^2 ) + (AL74:AL80*E74:E80)^2 + (0.5*(AL$24:AL$30)*E$24:E$30)^2 )  )</f>
        <v>0.17000462078391321</v>
      </c>
      <c r="AQ74" s="6">
        <f t="shared" si="77"/>
        <v>34.600195157531786</v>
      </c>
      <c r="AR74" s="15"/>
      <c r="AS74" s="6"/>
      <c r="AT74" s="16"/>
    </row>
    <row r="75" spans="1:47" ht="12.75" customHeight="1">
      <c r="C75" s="2">
        <f t="shared" ref="C75:C78" si="104">C74+50</f>
        <v>150</v>
      </c>
      <c r="D75" s="21">
        <f t="shared" si="102"/>
        <v>-28.689098198328747</v>
      </c>
      <c r="E75" s="6">
        <f t="shared" si="103"/>
        <v>5.7709928370817919E-2</v>
      </c>
      <c r="V75" s="6"/>
      <c r="AA75" s="6">
        <f>'IRMS data'!$G150</f>
        <v>-28.722417041008551</v>
      </c>
      <c r="AB75" s="6">
        <f>'IRMS data'!$G157</f>
        <v>-28.722417041008551</v>
      </c>
      <c r="AC75" s="6">
        <f>'IRMS data'!$G164</f>
        <v>-28.622460512969134</v>
      </c>
      <c r="AK75" s="17"/>
      <c r="AL75" s="28">
        <f>'peak area'!D82</f>
        <v>13.9</v>
      </c>
      <c r="AM75" s="6">
        <f>'peak area'!E82</f>
        <v>1.4177446878757822</v>
      </c>
      <c r="AN75" s="21">
        <v>13.8</v>
      </c>
      <c r="AO75" s="21">
        <v>-28.741007989460329</v>
      </c>
      <c r="AP75" s="23">
        <v>5.837673330969817E-2</v>
      </c>
      <c r="AQ75" s="6">
        <f t="shared" si="77"/>
        <v>293.44074899385305</v>
      </c>
      <c r="AR75" s="15"/>
      <c r="AS75" s="6"/>
      <c r="AT75" s="16"/>
    </row>
    <row r="76" spans="1:47" ht="12.75" customHeight="1">
      <c r="C76" s="2">
        <f t="shared" si="104"/>
        <v>200</v>
      </c>
      <c r="D76" s="21">
        <f t="shared" si="102"/>
        <v>-28.355909771530701</v>
      </c>
      <c r="E76" s="6">
        <f t="shared" si="103"/>
        <v>5.7709928370815858E-2</v>
      </c>
      <c r="V76" s="6"/>
      <c r="AA76" s="6">
        <f>'IRMS data'!$G151</f>
        <v>-28.322590928850893</v>
      </c>
      <c r="AB76" s="6">
        <f>'IRMS data'!$G158</f>
        <v>-28.422547456890307</v>
      </c>
      <c r="AC76" s="6">
        <f>'IRMS data'!$G165</f>
        <v>-28.322590928850893</v>
      </c>
      <c r="AK76" s="17"/>
      <c r="AL76" s="28">
        <f>'peak area'!D83</f>
        <v>6.4333333333333327</v>
      </c>
      <c r="AM76" s="6">
        <f>'peak area'!E83</f>
        <v>0.56862407030773288</v>
      </c>
      <c r="AN76" s="21">
        <v>6.333333333333333</v>
      </c>
      <c r="AO76" s="21">
        <v>-28.446922820745534</v>
      </c>
      <c r="AP76" s="23">
        <v>5.938398832834086E-2</v>
      </c>
      <c r="AQ76" s="6">
        <f t="shared" si="77"/>
        <v>283.57064800212896</v>
      </c>
      <c r="AR76" s="15"/>
      <c r="AS76" s="6"/>
      <c r="AT76" s="16"/>
    </row>
    <row r="77" spans="1:47" ht="12.75" customHeight="1">
      <c r="C77" s="2">
        <f t="shared" si="104"/>
        <v>250</v>
      </c>
      <c r="D77" s="21">
        <f t="shared" si="102"/>
        <v>-28.089359030092265</v>
      </c>
      <c r="E77" s="6">
        <f t="shared" si="103"/>
        <v>0.11541985674163173</v>
      </c>
      <c r="V77" s="6"/>
      <c r="AA77" s="6">
        <f>'IRMS data'!$G152</f>
        <v>-28.022721344732652</v>
      </c>
      <c r="AB77" s="6">
        <f>'IRMS data'!$G159</f>
        <v>-28.022721344732652</v>
      </c>
      <c r="AC77" s="6">
        <f>'IRMS data'!$G166</f>
        <v>-28.222634400811479</v>
      </c>
      <c r="AK77" s="17"/>
      <c r="AL77" s="28">
        <f>'peak area'!D84</f>
        <v>3.4333333333333336</v>
      </c>
      <c r="AM77" s="6">
        <f>'peak area'!E84</f>
        <v>0.28867513459481292</v>
      </c>
      <c r="AN77" s="21">
        <v>3.2833333333333337</v>
      </c>
      <c r="AO77" s="21">
        <v>-28.316163943968505</v>
      </c>
      <c r="AP77" s="23">
        <v>0.12266955380425539</v>
      </c>
      <c r="AQ77" s="6">
        <f t="shared" si="77"/>
        <v>66.454811251309621</v>
      </c>
      <c r="AR77" s="15"/>
      <c r="AS77" s="6"/>
      <c r="AT77" s="16"/>
    </row>
    <row r="78" spans="1:47" ht="12.75" customHeight="1">
      <c r="C78" s="2">
        <f t="shared" si="104"/>
        <v>300</v>
      </c>
      <c r="D78" s="21">
        <f t="shared" si="102"/>
        <v>-28.389228614210499</v>
      </c>
      <c r="E78" s="6">
        <f t="shared" si="103"/>
        <v>0.32131528256450254</v>
      </c>
      <c r="V78" s="6"/>
      <c r="AA78" s="6">
        <f>'IRMS data'!$G153</f>
        <v>-28.622460512969134</v>
      </c>
      <c r="AB78" s="6">
        <f>'IRMS data'!$G160</f>
        <v>-28.522503984929724</v>
      </c>
      <c r="AC78" s="6">
        <f>'IRMS data'!$G167</f>
        <v>-28.022721344732652</v>
      </c>
      <c r="AK78" s="17"/>
      <c r="AL78" s="28">
        <f>'peak area'!D85</f>
        <v>3.1333333333333329</v>
      </c>
      <c r="AM78" s="6">
        <f>'peak area'!E85</f>
        <v>0.20816659994661327</v>
      </c>
      <c r="AN78" s="21">
        <v>2.9999999999999996</v>
      </c>
      <c r="AO78" s="21">
        <v>-28.624681769147784</v>
      </c>
      <c r="AP78" s="23">
        <v>0.34708725611202257</v>
      </c>
      <c r="AQ78" s="6">
        <f t="shared" si="77"/>
        <v>8.3008518678705876</v>
      </c>
      <c r="AR78" s="15"/>
      <c r="AS78" s="6"/>
      <c r="AT78" s="16"/>
    </row>
    <row r="79" spans="1:47" ht="12.75" customHeight="1">
      <c r="C79" s="1">
        <v>340</v>
      </c>
      <c r="D79" s="21">
        <f t="shared" si="102"/>
        <v>-28.489185142249919</v>
      </c>
      <c r="E79" s="6">
        <f t="shared" si="103"/>
        <v>0.30537223729706131</v>
      </c>
      <c r="V79" s="6"/>
      <c r="AA79" s="6">
        <f>'IRMS data'!$G154</f>
        <v>-28.822373569047965</v>
      </c>
      <c r="AB79" s="6">
        <f>'IRMS data'!$G161</f>
        <v>-28.422547456890307</v>
      </c>
      <c r="AC79" s="6">
        <f>'IRMS data'!$G168</f>
        <v>-28.222634400811479</v>
      </c>
      <c r="AK79" s="17"/>
      <c r="AL79" s="28">
        <f>'peak area'!D86</f>
        <v>3.3000000000000003</v>
      </c>
      <c r="AM79" s="6">
        <f>'peak area'!E86</f>
        <v>0.17320508075688762</v>
      </c>
      <c r="AN79" s="21">
        <v>3.1333333333333337</v>
      </c>
      <c r="AO79" s="21">
        <v>-28.746165577812242</v>
      </c>
      <c r="AP79" s="23">
        <v>0.3253821047510177</v>
      </c>
      <c r="AQ79" s="6">
        <f t="shared" si="77"/>
        <v>9.4452329137684838</v>
      </c>
      <c r="AR79" s="15"/>
      <c r="AS79" s="6"/>
      <c r="AT79" s="16"/>
    </row>
    <row r="80" spans="1:47" ht="12.75" customHeight="1">
      <c r="C80" s="1">
        <v>390</v>
      </c>
      <c r="D80" s="21">
        <f t="shared" si="102"/>
        <v>-28.589141670289333</v>
      </c>
      <c r="E80" s="6">
        <f t="shared" si="103"/>
        <v>0.20807610584433203</v>
      </c>
      <c r="V80" s="6"/>
      <c r="AA80" s="6">
        <f>'IRMS data'!$G155</f>
        <v>-28.822373569047965</v>
      </c>
      <c r="AB80" s="6">
        <f>'IRMS data'!$G162</f>
        <v>-28.522503984929724</v>
      </c>
      <c r="AC80" s="6">
        <f>'IRMS data'!$G169</f>
        <v>-28.422547456890307</v>
      </c>
      <c r="AK80" s="17"/>
      <c r="AL80" s="28">
        <f>'peak area'!D87</f>
        <v>3.6666666666666665</v>
      </c>
      <c r="AM80" s="6">
        <f>'peak area'!E87</f>
        <v>0.32145502536643189</v>
      </c>
      <c r="AN80" s="21">
        <v>3.3833333333333333</v>
      </c>
      <c r="AO80" s="21">
        <v>-28.990937369206389</v>
      </c>
      <c r="AP80" s="23">
        <v>0.31338033340753246</v>
      </c>
      <c r="AQ80" s="6">
        <f t="shared" si="77"/>
        <v>10.182549347123063</v>
      </c>
      <c r="AR80" s="15"/>
      <c r="AS80" s="6"/>
      <c r="AT80" s="16"/>
    </row>
    <row r="81" spans="1:47" ht="12.75" customHeight="1">
      <c r="A81" s="2" t="str">
        <f>CONCATENATE(overview!$C6," ",overview!$D6)</f>
        <v>a-pin, cyclohexane cont flow bag, bottom</v>
      </c>
      <c r="B81" s="1" t="s">
        <v>113</v>
      </c>
      <c r="C81" s="1">
        <v>100</v>
      </c>
      <c r="D81" s="15">
        <f t="shared" ref="D81:D87" si="105">AD81</f>
        <v>-28.022721344732652</v>
      </c>
      <c r="E81" s="6">
        <f t="shared" ref="E81:E87" si="106">ABS(AD81/100*5)</f>
        <v>1.4011360672366326</v>
      </c>
      <c r="V81" s="6"/>
      <c r="AD81" s="6">
        <f>'IRMS data'!$G170</f>
        <v>-28.022721344732652</v>
      </c>
      <c r="AK81" s="17"/>
      <c r="AL81" s="28">
        <f>'peak area'!D88</f>
        <v>5</v>
      </c>
      <c r="AM81" s="6">
        <f>'peak area'!E88</f>
        <v>0.25</v>
      </c>
      <c r="AN81" s="21">
        <f t="array" ref="AN81:AN87">AL81:AL87-AL$3:AL$9</f>
        <v>4.7666666666666666</v>
      </c>
      <c r="AO81" s="21">
        <f t="array" ref="AO81:AO87">( (AL81:AL87)*(D81:D87)-(AL$3:AL$9)*(D$3:D$9))/(AN81:AN87)</f>
        <v>-28.32771690464779</v>
      </c>
      <c r="AP81" s="23">
        <f t="array" ref="AP81:AP87">SQRT( 1/AN81:AN87^2 * (  ( (D81:D87-D$3:D$9)/AN81:AN87 )^2 * ( (AL$3:AL$9*AM81:AM87)^2 + (AL81:AL87*AM$3:AM$9)^2 ) + (AL81:AL87*E81:E87)^2 + (AL$3:AL$9*E$3:E$9)^2 )  )</f>
        <v>1.4775924836933352</v>
      </c>
      <c r="AQ81" s="6">
        <f t="shared" si="77"/>
        <v>0.45802655046027102</v>
      </c>
      <c r="AR81" s="15">
        <f t="shared" ref="AR81:AS81" si="107">AO81</f>
        <v>-28.32771690464779</v>
      </c>
      <c r="AS81" s="6">
        <f t="shared" si="107"/>
        <v>1.4775924836933352</v>
      </c>
      <c r="AT81" s="15">
        <f t="shared" ref="AT81:AT101" si="108">AR81--29.96</f>
        <v>1.6322830953522107</v>
      </c>
      <c r="AU81" s="6">
        <f t="shared" ref="AU81:AU101" si="109">SQRT(AS81^2+0.08^2)</f>
        <v>1.4797565839917859</v>
      </c>
    </row>
    <row r="82" spans="1:47" ht="12.75" customHeight="1">
      <c r="C82" s="2">
        <f t="shared" ref="C82:C85" si="110">C81+50</f>
        <v>150</v>
      </c>
      <c r="D82" s="15">
        <f t="shared" si="105"/>
        <v>-29.622025793363282</v>
      </c>
      <c r="E82" s="6">
        <f t="shared" si="106"/>
        <v>1.4811012896681641</v>
      </c>
      <c r="V82" s="6"/>
      <c r="AD82" s="6">
        <f>'IRMS data'!$G171</f>
        <v>-29.622025793363282</v>
      </c>
      <c r="AK82" s="17"/>
      <c r="AL82" s="28">
        <f>'peak area'!D89</f>
        <v>12.2</v>
      </c>
      <c r="AM82" s="6">
        <f>'peak area'!E89</f>
        <v>0.61</v>
      </c>
      <c r="AN82" s="21">
        <v>11.899999999999999</v>
      </c>
      <c r="AO82" s="21">
        <v>-29.770700629186617</v>
      </c>
      <c r="AP82" s="23">
        <v>1.5190381779903364</v>
      </c>
      <c r="AQ82" s="6">
        <f t="shared" si="77"/>
        <v>0.43337376969908609</v>
      </c>
      <c r="AR82" s="15">
        <f t="shared" ref="AR82:AS82" si="111">AO82</f>
        <v>-29.770700629186617</v>
      </c>
      <c r="AS82" s="6">
        <f t="shared" si="111"/>
        <v>1.5190381779903364</v>
      </c>
      <c r="AT82" s="15">
        <f t="shared" si="108"/>
        <v>0.18929937081338366</v>
      </c>
      <c r="AU82" s="6">
        <f t="shared" si="109"/>
        <v>1.5211433154677441</v>
      </c>
    </row>
    <row r="83" spans="1:47" ht="12.75" customHeight="1">
      <c r="C83" s="2">
        <f t="shared" si="110"/>
        <v>200</v>
      </c>
      <c r="D83" s="15">
        <f t="shared" si="105"/>
        <v>-29.522069265323868</v>
      </c>
      <c r="E83" s="6">
        <f t="shared" si="106"/>
        <v>1.4761034632661936</v>
      </c>
      <c r="V83" s="6"/>
      <c r="AD83" s="6">
        <f>'IRMS data'!$G172</f>
        <v>-29.522069265323868</v>
      </c>
      <c r="AK83" s="17"/>
      <c r="AL83" s="28">
        <f>'peak area'!D90</f>
        <v>6.1</v>
      </c>
      <c r="AM83" s="6">
        <f>'peak area'!E90</f>
        <v>0.30499999999999999</v>
      </c>
      <c r="AN83" s="21">
        <v>5.833333333333333</v>
      </c>
      <c r="AO83" s="21">
        <v>-29.843453302143928</v>
      </c>
      <c r="AP83" s="23">
        <v>1.5481169281199263</v>
      </c>
      <c r="AQ83" s="6">
        <f t="shared" si="77"/>
        <v>0.41724628727927759</v>
      </c>
      <c r="AR83" s="15">
        <f t="shared" ref="AR83:AS83" si="112">AO83</f>
        <v>-29.843453302143928</v>
      </c>
      <c r="AS83" s="6">
        <f t="shared" si="112"/>
        <v>1.5481169281199263</v>
      </c>
      <c r="AT83" s="15">
        <f t="shared" si="108"/>
        <v>0.11654669785607297</v>
      </c>
      <c r="AU83" s="6">
        <f t="shared" si="109"/>
        <v>1.5501825773538667</v>
      </c>
    </row>
    <row r="84" spans="1:47" ht="12.75" customHeight="1">
      <c r="C84" s="2">
        <f t="shared" si="110"/>
        <v>250</v>
      </c>
      <c r="D84" s="15">
        <f t="shared" si="105"/>
        <v>-29.921895377481526</v>
      </c>
      <c r="E84" s="6">
        <f t="shared" si="106"/>
        <v>1.4960947688740764</v>
      </c>
      <c r="V84" s="6"/>
      <c r="AD84" s="6">
        <f>'IRMS data'!$G173</f>
        <v>-29.921895377481526</v>
      </c>
      <c r="AK84" s="17"/>
      <c r="AL84" s="28">
        <f>'peak area'!D91</f>
        <v>5.4</v>
      </c>
      <c r="AM84" s="6">
        <f>'peak area'!E91</f>
        <v>0.27</v>
      </c>
      <c r="AN84" s="21">
        <v>4.9666666666666668</v>
      </c>
      <c r="AO84" s="21">
        <v>-30.404459555354141</v>
      </c>
      <c r="AP84" s="23">
        <v>1.6283703525502025</v>
      </c>
      <c r="AQ84" s="6">
        <f t="shared" si="77"/>
        <v>0.37713221051898105</v>
      </c>
      <c r="AR84" s="15">
        <f t="shared" ref="AR84:AS84" si="113">AO84</f>
        <v>-30.404459555354141</v>
      </c>
      <c r="AS84" s="6">
        <f t="shared" si="113"/>
        <v>1.6283703525502025</v>
      </c>
      <c r="AT84" s="15">
        <f t="shared" si="108"/>
        <v>-0.44445955535413972</v>
      </c>
      <c r="AU84" s="6">
        <f t="shared" si="109"/>
        <v>1.6303343230958707</v>
      </c>
    </row>
    <row r="85" spans="1:47" ht="12.75" customHeight="1">
      <c r="C85" s="2">
        <f t="shared" si="110"/>
        <v>300</v>
      </c>
      <c r="D85" s="15">
        <f t="shared" si="105"/>
        <v>-28.922330097087382</v>
      </c>
      <c r="E85" s="6">
        <f t="shared" si="106"/>
        <v>1.4461165048543692</v>
      </c>
      <c r="V85" s="6"/>
      <c r="AD85" s="6">
        <f>'IRMS data'!$G174</f>
        <v>-28.922330097087382</v>
      </c>
      <c r="AK85" s="17"/>
      <c r="AL85" s="28">
        <f>'peak area'!D92</f>
        <v>5.8</v>
      </c>
      <c r="AM85" s="6">
        <f>'peak area'!E92</f>
        <v>0.28999999999999998</v>
      </c>
      <c r="AN85" s="21">
        <v>5.4666666666666668</v>
      </c>
      <c r="AO85" s="21">
        <v>-29.162063233442069</v>
      </c>
      <c r="AP85" s="23">
        <v>1.5356366964360131</v>
      </c>
      <c r="AQ85" s="6">
        <f t="shared" si="77"/>
        <v>0.42405582826481086</v>
      </c>
      <c r="AR85" s="15">
        <f t="shared" ref="AR85:AS85" si="114">AO85</f>
        <v>-29.162063233442069</v>
      </c>
      <c r="AS85" s="6">
        <f t="shared" si="114"/>
        <v>1.5356366964360131</v>
      </c>
      <c r="AT85" s="15">
        <f t="shared" si="108"/>
        <v>0.79793676655793178</v>
      </c>
      <c r="AU85" s="6">
        <f t="shared" si="109"/>
        <v>1.5377191107094013</v>
      </c>
    </row>
    <row r="86" spans="1:47" ht="12.75" customHeight="1">
      <c r="C86" s="1">
        <v>340</v>
      </c>
      <c r="D86" s="15">
        <f t="shared" si="105"/>
        <v>-28.922330097087382</v>
      </c>
      <c r="E86" s="6">
        <f t="shared" si="106"/>
        <v>1.4461165048543692</v>
      </c>
      <c r="V86" s="6"/>
      <c r="AD86" s="6">
        <f>'IRMS data'!$G175</f>
        <v>-28.922330097087382</v>
      </c>
      <c r="AK86" s="17"/>
      <c r="AL86" s="28">
        <f>'peak area'!D93</f>
        <v>6.8</v>
      </c>
      <c r="AM86" s="6">
        <f>'peak area'!E93</f>
        <v>0.34</v>
      </c>
      <c r="AN86" s="21">
        <v>6.3666666666666663</v>
      </c>
      <c r="AO86" s="21">
        <v>-29.210337475434805</v>
      </c>
      <c r="AP86" s="23">
        <v>1.5475031980706984</v>
      </c>
      <c r="AQ86" s="6">
        <f t="shared" si="77"/>
        <v>0.41757730742053994</v>
      </c>
      <c r="AR86" s="15">
        <f t="shared" ref="AR86:AS86" si="115">AO86</f>
        <v>-29.210337475434805</v>
      </c>
      <c r="AS86" s="6">
        <f t="shared" si="115"/>
        <v>1.5475031980706984</v>
      </c>
      <c r="AT86" s="15">
        <f t="shared" si="108"/>
        <v>0.74966252456519555</v>
      </c>
      <c r="AU86" s="6">
        <f t="shared" si="109"/>
        <v>1.5495696654358717</v>
      </c>
    </row>
    <row r="87" spans="1:47" ht="12.75" customHeight="1">
      <c r="C87" s="1">
        <v>390</v>
      </c>
      <c r="D87" s="15">
        <f t="shared" si="105"/>
        <v>-29.522069265323868</v>
      </c>
      <c r="E87" s="6">
        <f t="shared" si="106"/>
        <v>1.4761034632661936</v>
      </c>
      <c r="V87" s="6"/>
      <c r="AD87" s="6">
        <f>'IRMS data'!$G176</f>
        <v>-29.522069265323868</v>
      </c>
      <c r="AK87" s="17"/>
      <c r="AL87" s="28">
        <f>'peak area'!D94</f>
        <v>8.1999999999999993</v>
      </c>
      <c r="AM87" s="6">
        <f>'peak area'!E94</f>
        <v>0.40999999999999992</v>
      </c>
      <c r="AN87" s="21">
        <v>7.5666666666666664</v>
      </c>
      <c r="AO87" s="21">
        <v>-29.806527049964664</v>
      </c>
      <c r="AP87" s="23">
        <v>1.6070868981344182</v>
      </c>
      <c r="AQ87" s="6">
        <f t="shared" si="77"/>
        <v>0.38718745627027146</v>
      </c>
      <c r="AR87" s="15">
        <f t="shared" ref="AR87:AS87" si="116">AO87</f>
        <v>-29.806527049964664</v>
      </c>
      <c r="AS87" s="6">
        <f t="shared" si="116"/>
        <v>1.6070868981344182</v>
      </c>
      <c r="AT87" s="15">
        <f t="shared" si="108"/>
        <v>0.15347295003533645</v>
      </c>
      <c r="AU87" s="6">
        <f t="shared" si="109"/>
        <v>1.6090768465661627</v>
      </c>
    </row>
    <row r="88" spans="1:47" ht="12.75" customHeight="1">
      <c r="A88" s="2" t="str">
        <f>CONCATENATE(overview!$C7," ",overview!$D7)</f>
        <v>a-pin, cyclohexane cont flow bag, top</v>
      </c>
      <c r="B88" s="1" t="s">
        <v>114</v>
      </c>
      <c r="C88" s="1">
        <v>100</v>
      </c>
      <c r="D88" s="21">
        <f t="shared" ref="D88:D94" si="117">AVERAGE(AE88:AG88)</f>
        <v>-27.256387963097136</v>
      </c>
      <c r="E88" s="6">
        <f t="shared" ref="E88:E94" si="118">STDEV(AE88:AG88)</f>
        <v>0.47237612215462216</v>
      </c>
      <c r="V88" s="6"/>
      <c r="AE88" s="6">
        <f>'IRMS data'!$G2</f>
        <v>-26.72328648022026</v>
      </c>
      <c r="AF88" s="6">
        <f>'IRMS data'!$G9</f>
        <v>-27.422982176496163</v>
      </c>
      <c r="AG88" s="6">
        <f>'IRMS data'!$G191</f>
        <v>-27.62289523257499</v>
      </c>
      <c r="AK88" s="17"/>
      <c r="AL88" s="28">
        <f>'peak area'!D95</f>
        <v>3.9333333333333336</v>
      </c>
      <c r="AM88" s="6">
        <f>'peak area'!E95</f>
        <v>1.0785793124908978</v>
      </c>
      <c r="AN88" s="21">
        <f t="array" ref="AN88:AN94">AL88:AL94-AL$24:AL$30</f>
        <v>3.7666666666666671</v>
      </c>
      <c r="AO88" s="21">
        <f t="array" ref="AO88:AO94">( (AL88:AL94)*(D88:D94)-(AL$24:AL$30)*(D$24:D$30))/(AN88:AN94)</f>
        <v>-27.570410683928923</v>
      </c>
      <c r="AP88" s="23">
        <f t="array" ref="AP88:AP94">SQRT( 1/AN88:AN94^2 * (  ( (D88:D94-D$24:D$30)/AN88:AN94 )^2 * ( (AL$24:AL$30*AM88:AM94)^2 + (AL88:AL94*AM$24:AM$30)^2 ) + (AL88:AL94*E88:E94)^2 + (AL$24:AL$30*E$24:E$30)^2 )  )</f>
        <v>0.51563896768368134</v>
      </c>
      <c r="AQ88" s="6">
        <f t="shared" si="77"/>
        <v>3.7610450846928885</v>
      </c>
      <c r="AR88" s="15">
        <f t="shared" ref="AR88:AS88" si="119">AO88</f>
        <v>-27.570410683928923</v>
      </c>
      <c r="AS88" s="6">
        <f t="shared" si="119"/>
        <v>0.51563896768368134</v>
      </c>
      <c r="AT88" s="15">
        <f t="shared" si="108"/>
        <v>2.3895893160710777</v>
      </c>
      <c r="AU88" s="6">
        <f t="shared" si="109"/>
        <v>0.52180795796336088</v>
      </c>
    </row>
    <row r="89" spans="1:47" ht="12.75" customHeight="1">
      <c r="C89" s="2">
        <f t="shared" ref="C89:C92" si="120">C88+50</f>
        <v>150</v>
      </c>
      <c r="D89" s="21">
        <f t="shared" si="117"/>
        <v>-29.322156209245037</v>
      </c>
      <c r="E89" s="6">
        <f t="shared" si="118"/>
        <v>9.9956528039413683E-2</v>
      </c>
      <c r="V89" s="6"/>
      <c r="AE89" s="6">
        <f>'IRMS data'!$G3</f>
        <v>-29.422112737284451</v>
      </c>
      <c r="AF89" s="6">
        <f>'IRMS data'!$G10</f>
        <v>-29.322156209245037</v>
      </c>
      <c r="AG89" s="6">
        <f>'IRMS data'!$G192</f>
        <v>-29.222199681205623</v>
      </c>
      <c r="AK89" s="17"/>
      <c r="AL89" s="28">
        <f>'peak area'!D96</f>
        <v>17.366666666666664</v>
      </c>
      <c r="AM89" s="6">
        <f>'peak area'!E96</f>
        <v>1.9857828011475309</v>
      </c>
      <c r="AN89" s="21">
        <v>17.166666666666664</v>
      </c>
      <c r="AO89" s="21">
        <v>-29.412990491036194</v>
      </c>
      <c r="AP89" s="23">
        <v>0.10167218194917189</v>
      </c>
      <c r="AQ89" s="6">
        <f t="shared" si="77"/>
        <v>96.737689902781483</v>
      </c>
      <c r="AR89" s="15">
        <f t="shared" ref="AR89:AS89" si="121">AO89</f>
        <v>-29.412990491036194</v>
      </c>
      <c r="AS89" s="6">
        <f t="shared" si="121"/>
        <v>0.10167218194917189</v>
      </c>
      <c r="AT89" s="15">
        <f t="shared" si="108"/>
        <v>0.54700950896380718</v>
      </c>
      <c r="AU89" s="6">
        <f t="shared" si="109"/>
        <v>0.12937245681483178</v>
      </c>
    </row>
    <row r="90" spans="1:47" ht="12.75" customHeight="1">
      <c r="C90" s="2">
        <f t="shared" si="120"/>
        <v>200</v>
      </c>
      <c r="D90" s="21">
        <f t="shared" si="117"/>
        <v>-29.088924310486405</v>
      </c>
      <c r="E90" s="6">
        <f t="shared" si="118"/>
        <v>0.23083971348326551</v>
      </c>
      <c r="V90" s="6"/>
      <c r="AE90" s="6">
        <f>'IRMS data'!$G4</f>
        <v>-29.222199681205623</v>
      </c>
      <c r="AF90" s="6">
        <f>'IRMS data'!$G11</f>
        <v>-29.222199681205623</v>
      </c>
      <c r="AG90" s="6">
        <f>'IRMS data'!$G193</f>
        <v>-28.822373569047965</v>
      </c>
      <c r="AK90" s="17"/>
      <c r="AL90" s="28">
        <f>'peak area'!D97</f>
        <v>7.6000000000000005</v>
      </c>
      <c r="AM90" s="6">
        <f>'peak area'!E97</f>
        <v>0.26457513110645914</v>
      </c>
      <c r="AN90" s="21">
        <v>7.4</v>
      </c>
      <c r="AO90" s="21">
        <v>-29.264523616501595</v>
      </c>
      <c r="AP90" s="23">
        <v>0.237305305430911</v>
      </c>
      <c r="AQ90" s="6">
        <f t="shared" si="77"/>
        <v>17.757634153504249</v>
      </c>
      <c r="AR90" s="15">
        <f t="shared" ref="AR90:AS90" si="122">AO90</f>
        <v>-29.264523616501595</v>
      </c>
      <c r="AS90" s="6">
        <f t="shared" si="122"/>
        <v>0.237305305430911</v>
      </c>
      <c r="AT90" s="15">
        <f t="shared" si="108"/>
        <v>0.69547638349840568</v>
      </c>
      <c r="AU90" s="6">
        <f t="shared" si="109"/>
        <v>0.25042725088467899</v>
      </c>
    </row>
    <row r="91" spans="1:47" ht="12.75" customHeight="1">
      <c r="C91" s="2">
        <f t="shared" si="120"/>
        <v>250</v>
      </c>
      <c r="D91" s="21">
        <f t="shared" si="117"/>
        <v>-28.689098198328747</v>
      </c>
      <c r="E91" s="6">
        <f t="shared" si="118"/>
        <v>0.30537223729706325</v>
      </c>
      <c r="V91" s="6"/>
      <c r="AE91" s="6">
        <f>'IRMS data'!$G5</f>
        <v>-28.422547456890307</v>
      </c>
      <c r="AF91" s="6">
        <f>'IRMS data'!$G12</f>
        <v>-29.022286625126796</v>
      </c>
      <c r="AG91" s="6">
        <f>'IRMS data'!$G194</f>
        <v>-28.622460512969134</v>
      </c>
      <c r="AK91" s="17"/>
      <c r="AL91" s="28">
        <f>'peak area'!D98</f>
        <v>4.333333333333333</v>
      </c>
      <c r="AM91" s="6">
        <f>'peak area'!E98</f>
        <v>0.23094010767584999</v>
      </c>
      <c r="AN91" s="21">
        <v>4.0333333333333332</v>
      </c>
      <c r="AO91" s="21">
        <v>-29.102967789632437</v>
      </c>
      <c r="AP91" s="23">
        <v>0.32927649019875199</v>
      </c>
      <c r="AQ91" s="6">
        <f t="shared" si="77"/>
        <v>9.2231347173580431</v>
      </c>
      <c r="AR91" s="15">
        <f t="shared" ref="AR91:AS91" si="123">AO91</f>
        <v>-29.102967789632437</v>
      </c>
      <c r="AS91" s="6">
        <f t="shared" si="123"/>
        <v>0.32927649019875199</v>
      </c>
      <c r="AT91" s="15">
        <f t="shared" si="108"/>
        <v>0.85703221036756361</v>
      </c>
      <c r="AU91" s="6">
        <f t="shared" si="109"/>
        <v>0.33885543672428931</v>
      </c>
    </row>
    <row r="92" spans="1:47" ht="12.75" customHeight="1">
      <c r="C92" s="2">
        <f t="shared" si="120"/>
        <v>300</v>
      </c>
      <c r="D92" s="21">
        <f t="shared" si="117"/>
        <v>-28.955648939767187</v>
      </c>
      <c r="E92" s="6">
        <f t="shared" si="118"/>
        <v>0.15268611864853124</v>
      </c>
      <c r="V92" s="6"/>
      <c r="AE92" s="6">
        <f>'IRMS data'!$G6</f>
        <v>-29.12224315316621</v>
      </c>
      <c r="AF92" s="6">
        <f>'IRMS data'!$G13</f>
        <v>-28.922330097087382</v>
      </c>
      <c r="AG92" s="6">
        <f>'IRMS data'!$G195</f>
        <v>-28.822373569047965</v>
      </c>
      <c r="AK92" s="17"/>
      <c r="AL92" s="28">
        <f>'peak area'!D99</f>
        <v>4.0333333333333332</v>
      </c>
      <c r="AM92" s="6">
        <f>'peak area'!E99</f>
        <v>0.20816659994661341</v>
      </c>
      <c r="AN92" s="21">
        <v>3.7666666666666666</v>
      </c>
      <c r="AO92" s="21">
        <v>-29.370807616697856</v>
      </c>
      <c r="AP92" s="23">
        <v>0.22035501363276705</v>
      </c>
      <c r="AQ92" s="6">
        <f t="shared" si="77"/>
        <v>20.594636335347168</v>
      </c>
      <c r="AR92" s="15">
        <f t="shared" ref="AR92:AS92" si="124">AO92</f>
        <v>-29.370807616697856</v>
      </c>
      <c r="AS92" s="6">
        <f t="shared" si="124"/>
        <v>0.22035501363276705</v>
      </c>
      <c r="AT92" s="15">
        <f t="shared" si="108"/>
        <v>0.58919238330214441</v>
      </c>
      <c r="AU92" s="6">
        <f t="shared" si="109"/>
        <v>0.2344276690860039</v>
      </c>
    </row>
    <row r="93" spans="1:47" ht="12.75" customHeight="1">
      <c r="C93" s="1">
        <v>340</v>
      </c>
      <c r="D93" s="21">
        <f t="shared" si="117"/>
        <v>-29.155561995846014</v>
      </c>
      <c r="E93" s="6">
        <f t="shared" si="118"/>
        <v>5.7709928370815872E-2</v>
      </c>
      <c r="V93" s="6"/>
      <c r="AE93" s="6">
        <f>'IRMS data'!$G7</f>
        <v>-29.222199681205623</v>
      </c>
      <c r="AF93" s="6">
        <f>'IRMS data'!$G14</f>
        <v>-29.12224315316621</v>
      </c>
      <c r="AG93" s="6">
        <f>'IRMS data'!$G196</f>
        <v>-29.12224315316621</v>
      </c>
      <c r="AK93" s="17"/>
      <c r="AL93" s="28">
        <f>'peak area'!D100</f>
        <v>4.3</v>
      </c>
      <c r="AM93" s="6">
        <f>'peak area'!E100</f>
        <v>0.26457513110645897</v>
      </c>
      <c r="AN93" s="21">
        <v>3.9666666666666663</v>
      </c>
      <c r="AO93" s="21">
        <v>-29.617545948969362</v>
      </c>
      <c r="AP93" s="23">
        <v>0.11172054505284053</v>
      </c>
      <c r="AQ93" s="6">
        <f t="shared" si="77"/>
        <v>80.118702671919706</v>
      </c>
      <c r="AR93" s="15">
        <f t="shared" ref="AR93:AS93" si="125">AO93</f>
        <v>-29.617545948969362</v>
      </c>
      <c r="AS93" s="6">
        <f t="shared" si="125"/>
        <v>0.11172054505284053</v>
      </c>
      <c r="AT93" s="15">
        <f t="shared" si="108"/>
        <v>0.34245405103063931</v>
      </c>
      <c r="AU93" s="6">
        <f t="shared" si="109"/>
        <v>0.13740989843131304</v>
      </c>
    </row>
    <row r="94" spans="1:47" ht="12.75" customHeight="1">
      <c r="C94" s="1">
        <v>390</v>
      </c>
      <c r="D94" s="21">
        <f t="shared" si="117"/>
        <v>-29.022286625126796</v>
      </c>
      <c r="E94" s="6">
        <f t="shared" si="118"/>
        <v>0.2644601151097446</v>
      </c>
      <c r="V94" s="6"/>
      <c r="AE94" s="6">
        <f>'IRMS data'!$G8</f>
        <v>-29.322156209245037</v>
      </c>
      <c r="AF94" s="6">
        <f>'IRMS data'!$G15</f>
        <v>-28.822373569047965</v>
      </c>
      <c r="AG94" s="6">
        <f>'IRMS data'!$G197</f>
        <v>-28.922330097087382</v>
      </c>
      <c r="AK94" s="17"/>
      <c r="AL94" s="28">
        <f>'peak area'!D101</f>
        <v>4.8666666666666663</v>
      </c>
      <c r="AM94" s="6">
        <f>'peak area'!E101</f>
        <v>0.37859388972001823</v>
      </c>
      <c r="AN94" s="21">
        <v>4.3</v>
      </c>
      <c r="AO94" s="21">
        <v>-29.711650897315938</v>
      </c>
      <c r="AP94" s="23">
        <v>0.48413352498120321</v>
      </c>
      <c r="AQ94" s="6">
        <f t="shared" si="77"/>
        <v>4.2664797150189546</v>
      </c>
      <c r="AR94" s="15">
        <f t="shared" ref="AR94:AS94" si="126">AO94</f>
        <v>-29.711650897315938</v>
      </c>
      <c r="AS94" s="6">
        <f t="shared" si="126"/>
        <v>0.48413352498120321</v>
      </c>
      <c r="AT94" s="15">
        <f t="shared" si="108"/>
        <v>0.24834910268406318</v>
      </c>
      <c r="AU94" s="6">
        <f t="shared" si="109"/>
        <v>0.49069875688728343</v>
      </c>
    </row>
    <row r="95" spans="1:47" ht="12.75" customHeight="1">
      <c r="A95" s="2" t="str">
        <f>CONCATENATE(overview!$C9," ",overview!$D9)</f>
        <v>a-pin, cyclohexane cont flow bag, top</v>
      </c>
      <c r="B95" s="1" t="s">
        <v>115</v>
      </c>
      <c r="C95" s="1">
        <v>100</v>
      </c>
      <c r="D95" s="21">
        <f t="shared" ref="D95:D101" si="127">AVERAGE(AH95:AJ95)</f>
        <v>-27.956083659373036</v>
      </c>
      <c r="E95" s="6">
        <f t="shared" ref="E95:E101" si="128">STDEV(AH95:AJ95)</f>
        <v>0.25155174580736073</v>
      </c>
      <c r="V95" s="6"/>
      <c r="AH95" s="6">
        <f>'IRMS data'!$G198</f>
        <v>-27.922764816693235</v>
      </c>
      <c r="AI95" s="6">
        <f>'IRMS data'!$G205</f>
        <v>-27.722851760614404</v>
      </c>
      <c r="AJ95" s="6">
        <f>'IRMS data'!$G212</f>
        <v>-28.222634400811479</v>
      </c>
      <c r="AK95" s="17"/>
      <c r="AL95" s="28">
        <f>'peak area'!D102</f>
        <v>2.1</v>
      </c>
      <c r="AM95" s="6">
        <f>'peak area'!E102</f>
        <v>0.17320508075688762</v>
      </c>
      <c r="AN95" s="21">
        <f t="array" ref="AN95:AN101">AL95:AL101 - 0.5*(AL$24:AL$30)</f>
        <v>2.0166666666666666</v>
      </c>
      <c r="AO95" s="21">
        <f t="array" ref="AO95:AO101">( (AL95:AL101)*(D95:D101)- 0.5*(AL$24:AL$30)*(D$24:D$30))/(AN95:AN101)</f>
        <v>-28.278257592723218</v>
      </c>
      <c r="AP95" s="23">
        <f t="array" ref="AP95:AP101">SQRT( 1/AN95:AN101^2 * (  ( (D95:D101-D$24:D$30)/AN95:AN101 )^2 * ( (0.5*(AL$24:AL$30)*AM95:AM101)^2 + (AL95:AL101*0.5*(AM$24:AM$30))^2 ) + (AL95:AL101*E95:E101)^2 + (0.5*(AL$24:AL$30)*E$24:E$30)^2 )  )</f>
        <v>0.29027280067691791</v>
      </c>
      <c r="AQ95" s="6">
        <f t="shared" si="77"/>
        <v>11.868267151007664</v>
      </c>
      <c r="AR95" s="15">
        <f t="shared" ref="AR95:AS95" si="129">AO95</f>
        <v>-28.278257592723218</v>
      </c>
      <c r="AS95" s="6">
        <f t="shared" si="129"/>
        <v>0.29027280067691791</v>
      </c>
      <c r="AT95" s="15">
        <f t="shared" si="108"/>
        <v>1.6817424072767828</v>
      </c>
      <c r="AU95" s="6">
        <f t="shared" si="109"/>
        <v>0.30109516570815564</v>
      </c>
    </row>
    <row r="96" spans="1:47" ht="12.75" customHeight="1">
      <c r="C96" s="2">
        <f t="shared" ref="C96:C99" si="130">C95+50</f>
        <v>150</v>
      </c>
      <c r="D96" s="21">
        <f t="shared" si="127"/>
        <v>-28.922330097087382</v>
      </c>
      <c r="E96" s="6">
        <f t="shared" si="128"/>
        <v>9.995652803941546E-2</v>
      </c>
      <c r="V96" s="6"/>
      <c r="AH96" s="6">
        <f>'IRMS data'!$G199</f>
        <v>-29.022286625126796</v>
      </c>
      <c r="AI96" s="6">
        <f>'IRMS data'!$G206</f>
        <v>-28.922330097087382</v>
      </c>
      <c r="AJ96" s="6">
        <f>'IRMS data'!$G213</f>
        <v>-28.822373569047965</v>
      </c>
      <c r="AK96" s="17"/>
      <c r="AL96" s="28">
        <f>'peak area'!D103</f>
        <v>11.233333333333334</v>
      </c>
      <c r="AM96" s="6">
        <f>'peak area'!E103</f>
        <v>1.8009256878986657</v>
      </c>
      <c r="AN96" s="21">
        <v>11.133333333333335</v>
      </c>
      <c r="AO96" s="21">
        <v>-28.988768268418969</v>
      </c>
      <c r="AP96" s="23">
        <v>0.10142929923020401</v>
      </c>
      <c r="AQ96" s="6">
        <f t="shared" si="77"/>
        <v>97.201540979332279</v>
      </c>
      <c r="AR96" s="15">
        <f t="shared" ref="AR96:AS96" si="131">AO96</f>
        <v>-28.988768268418969</v>
      </c>
      <c r="AS96" s="6">
        <f t="shared" si="131"/>
        <v>0.10142929923020401</v>
      </c>
      <c r="AT96" s="15">
        <f t="shared" si="108"/>
        <v>0.97123173158103171</v>
      </c>
      <c r="AU96" s="6">
        <f t="shared" si="109"/>
        <v>0.12918166565859981</v>
      </c>
    </row>
    <row r="97" spans="3:47" ht="12.75" customHeight="1">
      <c r="C97" s="2">
        <f t="shared" si="130"/>
        <v>200</v>
      </c>
      <c r="D97" s="21">
        <f t="shared" si="127"/>
        <v>-28.922330097087382</v>
      </c>
      <c r="E97" s="6">
        <f t="shared" si="128"/>
        <v>9.995652803941546E-2</v>
      </c>
      <c r="V97" s="6"/>
      <c r="AH97" s="6">
        <f>'IRMS data'!$G200</f>
        <v>-28.922330097087382</v>
      </c>
      <c r="AI97" s="6">
        <f>'IRMS data'!$G207</f>
        <v>-28.822373569047965</v>
      </c>
      <c r="AJ97" s="6">
        <f>'IRMS data'!$G214</f>
        <v>-29.022286625126796</v>
      </c>
      <c r="AK97" s="17"/>
      <c r="AL97" s="28">
        <f>'peak area'!D104</f>
        <v>5.3</v>
      </c>
      <c r="AM97" s="6">
        <f>'peak area'!E104</f>
        <v>0.81853527718724606</v>
      </c>
      <c r="AN97" s="21">
        <v>5.2</v>
      </c>
      <c r="AO97" s="21">
        <v>-29.044072022263592</v>
      </c>
      <c r="AP97" s="23">
        <v>0.10383163790905443</v>
      </c>
      <c r="AQ97" s="6">
        <f t="shared" si="77"/>
        <v>92.75569634864263</v>
      </c>
      <c r="AR97" s="15">
        <f t="shared" ref="AR97:AS97" si="132">AO97</f>
        <v>-29.044072022263592</v>
      </c>
      <c r="AS97" s="6">
        <f t="shared" si="132"/>
        <v>0.10383163790905443</v>
      </c>
      <c r="AT97" s="15">
        <f t="shared" si="108"/>
        <v>0.9159279777364091</v>
      </c>
      <c r="AU97" s="6">
        <f t="shared" si="109"/>
        <v>0.13107634809864435</v>
      </c>
    </row>
    <row r="98" spans="3:47" ht="12.75" customHeight="1">
      <c r="C98" s="2">
        <f t="shared" si="130"/>
        <v>250</v>
      </c>
      <c r="D98" s="21">
        <f t="shared" si="127"/>
        <v>-28.722417041008551</v>
      </c>
      <c r="E98" s="6">
        <f t="shared" si="128"/>
        <v>0.17312978511244759</v>
      </c>
      <c r="V98" s="6"/>
      <c r="AH98" s="6">
        <f>'IRMS data'!$G201</f>
        <v>-28.822373569047965</v>
      </c>
      <c r="AI98" s="6">
        <f>'IRMS data'!$G208</f>
        <v>-28.522503984929724</v>
      </c>
      <c r="AJ98" s="6">
        <f>'IRMS data'!$G215</f>
        <v>-28.822373569047965</v>
      </c>
      <c r="AK98" s="17"/>
      <c r="AL98" s="28">
        <f>'peak area'!D105</f>
        <v>3</v>
      </c>
      <c r="AM98" s="6">
        <f>'peak area'!E105</f>
        <v>0.43588989435406883</v>
      </c>
      <c r="AN98" s="21">
        <v>2.85</v>
      </c>
      <c r="AO98" s="21">
        <v>-29.017025755229984</v>
      </c>
      <c r="AP98" s="23">
        <v>0.18802416171417741</v>
      </c>
      <c r="AQ98" s="6">
        <f t="shared" si="77"/>
        <v>28.286074299201214</v>
      </c>
      <c r="AR98" s="15">
        <f t="shared" ref="AR98:AS98" si="133">AO98</f>
        <v>-29.017025755229984</v>
      </c>
      <c r="AS98" s="6">
        <f t="shared" si="133"/>
        <v>0.18802416171417741</v>
      </c>
      <c r="AT98" s="15">
        <f t="shared" si="108"/>
        <v>0.94297424477001712</v>
      </c>
      <c r="AU98" s="6">
        <f t="shared" si="109"/>
        <v>0.20433571735827083</v>
      </c>
    </row>
    <row r="99" spans="3:47" ht="12.75" customHeight="1">
      <c r="C99" s="2">
        <f t="shared" si="130"/>
        <v>300</v>
      </c>
      <c r="D99" s="21">
        <f t="shared" si="127"/>
        <v>-28.689098198328747</v>
      </c>
      <c r="E99" s="6">
        <f t="shared" si="128"/>
        <v>0.23083971348326551</v>
      </c>
      <c r="V99" s="6"/>
      <c r="AH99" s="6">
        <f>'IRMS data'!$G202</f>
        <v>-28.822373569047965</v>
      </c>
      <c r="AI99" s="6">
        <f>'IRMS data'!$G209</f>
        <v>-28.822373569047965</v>
      </c>
      <c r="AJ99" s="6">
        <f>'IRMS data'!$G216</f>
        <v>-28.422547456890307</v>
      </c>
      <c r="AK99" s="17"/>
      <c r="AL99" s="28">
        <f>'peak area'!D106</f>
        <v>2.6333333333333333</v>
      </c>
      <c r="AM99" s="6">
        <f>'peak area'!E106</f>
        <v>0.37859388972001734</v>
      </c>
      <c r="AN99" s="21">
        <v>2.5</v>
      </c>
      <c r="AO99" s="21">
        <v>-28.987635028739795</v>
      </c>
      <c r="AP99" s="23">
        <v>0.2695029013228013</v>
      </c>
      <c r="AQ99" s="6">
        <f t="shared" si="77"/>
        <v>13.76807141921133</v>
      </c>
      <c r="AR99" s="15">
        <f t="shared" ref="AR99:AS99" si="134">AO99</f>
        <v>-28.987635028739795</v>
      </c>
      <c r="AS99" s="6">
        <f t="shared" si="134"/>
        <v>0.2695029013228013</v>
      </c>
      <c r="AT99" s="15">
        <f t="shared" si="108"/>
        <v>0.97236497126020538</v>
      </c>
      <c r="AU99" s="6">
        <f t="shared" si="109"/>
        <v>0.28112597500303593</v>
      </c>
    </row>
    <row r="100" spans="3:47" ht="12.75" customHeight="1">
      <c r="C100" s="1">
        <v>340</v>
      </c>
      <c r="D100" s="21">
        <f t="shared" si="127"/>
        <v>-29.12224315316621</v>
      </c>
      <c r="E100" s="6">
        <f t="shared" si="128"/>
        <v>9.9956528039413683E-2</v>
      </c>
      <c r="V100" s="6"/>
      <c r="AH100" s="6">
        <f>'IRMS data'!$G203</f>
        <v>-29.222199681205623</v>
      </c>
      <c r="AI100" s="6">
        <f>'IRMS data'!$G210</f>
        <v>-29.12224315316621</v>
      </c>
      <c r="AJ100" s="6">
        <f>'IRMS data'!$G217</f>
        <v>-29.022286625126796</v>
      </c>
      <c r="AK100" s="17"/>
      <c r="AL100" s="28">
        <f>'peak area'!D107</f>
        <v>2.6333333333333333</v>
      </c>
      <c r="AM100" s="6">
        <f>'peak area'!E107</f>
        <v>0.37859388972001734</v>
      </c>
      <c r="AN100" s="21">
        <v>2.4666666666666668</v>
      </c>
      <c r="AO100" s="21">
        <v>-29.491451950428914</v>
      </c>
      <c r="AP100" s="23">
        <v>0.13899601468220776</v>
      </c>
      <c r="AQ100" s="6">
        <f t="shared" si="77"/>
        <v>51.760123449525388</v>
      </c>
      <c r="AR100" s="15">
        <f t="shared" ref="AR100:AS100" si="135">AO100</f>
        <v>-29.491451950428914</v>
      </c>
      <c r="AS100" s="6">
        <f t="shared" si="135"/>
        <v>0.13899601468220776</v>
      </c>
      <c r="AT100" s="15">
        <f t="shared" si="108"/>
        <v>0.46854804957108698</v>
      </c>
      <c r="AU100" s="6">
        <f t="shared" si="109"/>
        <v>0.16037422516581806</v>
      </c>
    </row>
    <row r="101" spans="3:47" ht="12.75" customHeight="1">
      <c r="C101" s="1">
        <v>390</v>
      </c>
      <c r="D101" s="21">
        <f t="shared" si="127"/>
        <v>-29.022286625126796</v>
      </c>
      <c r="E101" s="6">
        <f t="shared" si="128"/>
        <v>0.17312978511244759</v>
      </c>
      <c r="V101" s="6"/>
      <c r="AH101" s="6">
        <f>'IRMS data'!$G204</f>
        <v>-29.222199681205623</v>
      </c>
      <c r="AI101" s="6">
        <f>'IRMS data'!$G211</f>
        <v>-28.922330097087382</v>
      </c>
      <c r="AJ101" s="6">
        <f>'IRMS data'!$G218</f>
        <v>-28.922330097087382</v>
      </c>
      <c r="AK101" s="17"/>
      <c r="AL101" s="28">
        <f>'peak area'!D108</f>
        <v>3.0666666666666664</v>
      </c>
      <c r="AM101" s="6">
        <f>'peak area'!E108</f>
        <v>0.40414518843274105</v>
      </c>
      <c r="AN101" s="21">
        <v>2.7833333333333332</v>
      </c>
      <c r="AO101" s="21">
        <v>-29.554789565919606</v>
      </c>
      <c r="AP101" s="23">
        <v>0.35045755889643415</v>
      </c>
      <c r="AQ101" s="6">
        <f t="shared" si="77"/>
        <v>8.1419632326476012</v>
      </c>
      <c r="AR101" s="15">
        <f t="shared" ref="AR101:AS101" si="136">AO101</f>
        <v>-29.554789565919606</v>
      </c>
      <c r="AS101" s="6">
        <f t="shared" si="136"/>
        <v>0.35045755889643415</v>
      </c>
      <c r="AT101" s="15">
        <f t="shared" si="108"/>
        <v>0.40521043408039503</v>
      </c>
      <c r="AU101" s="6">
        <f t="shared" si="109"/>
        <v>0.35947253106134219</v>
      </c>
    </row>
    <row r="102" spans="3:47" ht="12.75" customHeight="1">
      <c r="D102" s="15"/>
      <c r="E102" s="6"/>
      <c r="V102" s="6"/>
      <c r="AK102" s="17"/>
      <c r="AL102" s="28"/>
      <c r="AM102" s="6"/>
      <c r="AN102" s="21"/>
      <c r="AO102" s="21"/>
      <c r="AP102" s="23"/>
      <c r="AR102" s="15"/>
      <c r="AS102" s="6"/>
      <c r="AT102" s="16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exp paras</vt:lpstr>
      <vt:lpstr>PTR-MS</vt:lpstr>
      <vt:lpstr>IRMS data</vt:lpstr>
      <vt:lpstr>peak area</vt:lpstr>
      <vt:lpstr>d13C</vt:lpstr>
      <vt:lpstr>re-eval d13C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 Meusinger</cp:lastModifiedBy>
  <dcterms:modified xsi:type="dcterms:W3CDTF">2017-05-22T11:18:25Z</dcterms:modified>
</cp:coreProperties>
</file>